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wvumc.sharepoint.com/Conference Policies and Forms/Charge Conference Forms/Treasurer Drafted Documents/2023/"/>
    </mc:Choice>
  </mc:AlternateContent>
  <xr:revisionPtr revIDLastSave="0" documentId="8_{55BE5E76-0785-4850-963F-27602335DAB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pportunities Summary" sheetId="2" r:id="rId1"/>
    <sheet name="Detailed Budget" sheetId="1" r:id="rId2"/>
  </sheets>
  <definedNames>
    <definedName name="_xlnm._FilterDatabase" localSheetId="1" hidden="1">'Detailed Budget'!$A$3:$E$3</definedName>
    <definedName name="_xlnm.Print_Area" localSheetId="1">'Detailed Budget'!$A$3:$E$833</definedName>
    <definedName name="_xlnm.Print_Titles" localSheetId="1">'Detailed Budget'!$3:$3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7" i="1" l="1"/>
  <c r="B587" i="1"/>
  <c r="D747" i="1"/>
  <c r="E747" i="1" s="1"/>
  <c r="D727" i="1" l="1"/>
  <c r="E727" i="1" s="1"/>
  <c r="D654" i="1"/>
  <c r="E654" i="1" s="1"/>
  <c r="B572" i="1"/>
  <c r="C572" i="1"/>
  <c r="C495" i="1"/>
  <c r="B495" i="1"/>
  <c r="D404" i="1"/>
  <c r="E404" i="1" s="1"/>
  <c r="D95" i="1"/>
  <c r="E95" i="1" s="1"/>
  <c r="D596" i="1"/>
  <c r="E596" i="1" s="1"/>
  <c r="D572" i="1" l="1"/>
  <c r="E572" i="1" s="1"/>
  <c r="D231" i="1"/>
  <c r="B807" i="1" l="1"/>
  <c r="B819" i="1"/>
  <c r="B827" i="1"/>
  <c r="D757" i="1"/>
  <c r="E757" i="1" s="1"/>
  <c r="D758" i="1"/>
  <c r="E758" i="1" s="1"/>
  <c r="D313" i="1"/>
  <c r="E313" i="1" s="1"/>
  <c r="D163" i="1"/>
  <c r="E163" i="1" s="1"/>
  <c r="B62" i="1"/>
  <c r="D807" i="1" l="1"/>
  <c r="E807" i="1" s="1"/>
  <c r="C827" i="1" l="1"/>
  <c r="C819" i="1"/>
  <c r="C733" i="1"/>
  <c r="C571" i="1"/>
  <c r="C570" i="1"/>
  <c r="C569" i="1"/>
  <c r="C568" i="1"/>
  <c r="C567" i="1"/>
  <c r="C566" i="1"/>
  <c r="C259" i="1"/>
  <c r="C250" i="1"/>
  <c r="C239" i="1"/>
  <c r="C205" i="1"/>
  <c r="C91" i="1"/>
  <c r="C92" i="1" s="1"/>
  <c r="C74" i="1"/>
  <c r="C62" i="1"/>
  <c r="C273" i="1" l="1"/>
  <c r="B259" i="1"/>
  <c r="D739" i="1"/>
  <c r="E739" i="1" s="1"/>
  <c r="D260" i="1"/>
  <c r="E260" i="1" s="1"/>
  <c r="C13" i="2" l="1"/>
  <c r="C282" i="1"/>
  <c r="D722" i="1"/>
  <c r="C286" i="1" l="1"/>
  <c r="C18" i="2" s="1"/>
  <c r="D198" i="1"/>
  <c r="C17" i="2" l="1"/>
  <c r="E198" i="1"/>
  <c r="D136" i="1"/>
  <c r="E136" i="1" s="1"/>
  <c r="D320" i="1"/>
  <c r="E320" i="1" s="1"/>
  <c r="D319" i="1"/>
  <c r="E319" i="1" s="1"/>
  <c r="D240" i="1"/>
  <c r="E240" i="1" s="1"/>
  <c r="D259" i="1"/>
  <c r="E259" i="1" s="1"/>
  <c r="D235" i="1"/>
  <c r="E235" i="1" s="1"/>
  <c r="B250" i="1"/>
  <c r="D250" i="1" s="1"/>
  <c r="E250" i="1" s="1"/>
  <c r="D265" i="1"/>
  <c r="E265" i="1" s="1"/>
  <c r="D264" i="1"/>
  <c r="E264" i="1" s="1"/>
  <c r="D258" i="1"/>
  <c r="E258" i="1" s="1"/>
  <c r="D257" i="1"/>
  <c r="E257" i="1" s="1"/>
  <c r="D251" i="1"/>
  <c r="E251" i="1" s="1"/>
  <c r="D252" i="1"/>
  <c r="E252" i="1" s="1"/>
  <c r="D253" i="1"/>
  <c r="E253" i="1" s="1"/>
  <c r="D249" i="1"/>
  <c r="E249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39" i="1"/>
  <c r="E239" i="1" s="1"/>
  <c r="D794" i="1"/>
  <c r="E794" i="1" s="1"/>
  <c r="D410" i="1" l="1"/>
  <c r="E410" i="1" s="1"/>
  <c r="D468" i="1" l="1"/>
  <c r="E468" i="1" s="1"/>
  <c r="D469" i="1"/>
  <c r="E469" i="1" s="1"/>
  <c r="D440" i="1"/>
  <c r="E440" i="1" s="1"/>
  <c r="D106" i="1" l="1"/>
  <c r="E106" i="1" s="1"/>
  <c r="D86" i="1"/>
  <c r="E86" i="1" s="1"/>
  <c r="D74" i="1"/>
  <c r="E74" i="1" s="1"/>
  <c r="D62" i="1"/>
  <c r="E62" i="1" s="1"/>
  <c r="D50" i="1"/>
  <c r="E50" i="1" s="1"/>
  <c r="D26" i="1"/>
  <c r="E26" i="1" s="1"/>
  <c r="D38" i="1"/>
  <c r="E38" i="1" s="1"/>
  <c r="D51" i="1" l="1"/>
  <c r="E51" i="1" s="1"/>
  <c r="D386" i="1"/>
  <c r="D213" i="1" l="1"/>
  <c r="E213" i="1" s="1"/>
  <c r="D726" i="1"/>
  <c r="E726" i="1" s="1"/>
  <c r="B566" i="1"/>
  <c r="D211" i="1"/>
  <c r="E211" i="1" s="1"/>
  <c r="D294" i="1"/>
  <c r="E294" i="1" s="1"/>
  <c r="D383" i="1"/>
  <c r="E383" i="1" s="1"/>
  <c r="D382" i="1"/>
  <c r="B92" i="1"/>
  <c r="D285" i="1"/>
  <c r="E285" i="1" s="1"/>
  <c r="D826" i="1"/>
  <c r="E826" i="1" s="1"/>
  <c r="D825" i="1"/>
  <c r="E825" i="1" s="1"/>
  <c r="D824" i="1"/>
  <c r="E824" i="1" s="1"/>
  <c r="D823" i="1"/>
  <c r="E823" i="1" s="1"/>
  <c r="D815" i="1"/>
  <c r="E815" i="1" s="1"/>
  <c r="D811" i="1"/>
  <c r="E811" i="1" s="1"/>
  <c r="D806" i="1"/>
  <c r="E806" i="1" s="1"/>
  <c r="D800" i="1"/>
  <c r="E800" i="1" s="1"/>
  <c r="D799" i="1"/>
  <c r="E799" i="1" s="1"/>
  <c r="D798" i="1"/>
  <c r="E798" i="1" s="1"/>
  <c r="D793" i="1"/>
  <c r="E793" i="1" s="1"/>
  <c r="D789" i="1"/>
  <c r="E789" i="1" s="1"/>
  <c r="D785" i="1"/>
  <c r="E785" i="1" s="1"/>
  <c r="D784" i="1"/>
  <c r="E784" i="1" s="1"/>
  <c r="D783" i="1"/>
  <c r="E783" i="1" s="1"/>
  <c r="D782" i="1"/>
  <c r="E782" i="1" s="1"/>
  <c r="D781" i="1"/>
  <c r="E781" i="1" s="1"/>
  <c r="D780" i="1"/>
  <c r="E780" i="1" s="1"/>
  <c r="D773" i="1"/>
  <c r="E773" i="1" s="1"/>
  <c r="D772" i="1"/>
  <c r="E772" i="1" s="1"/>
  <c r="D771" i="1"/>
  <c r="E771" i="1" s="1"/>
  <c r="D770" i="1"/>
  <c r="E770" i="1" s="1"/>
  <c r="D769" i="1"/>
  <c r="E769" i="1" s="1"/>
  <c r="D768" i="1"/>
  <c r="E768" i="1" s="1"/>
  <c r="D767" i="1"/>
  <c r="E767" i="1" s="1"/>
  <c r="D766" i="1"/>
  <c r="E766" i="1" s="1"/>
  <c r="D765" i="1"/>
  <c r="E765" i="1" s="1"/>
  <c r="D764" i="1"/>
  <c r="E764" i="1" s="1"/>
  <c r="D763" i="1"/>
  <c r="E763" i="1" s="1"/>
  <c r="D762" i="1"/>
  <c r="E762" i="1" s="1"/>
  <c r="D761" i="1"/>
  <c r="E761" i="1" s="1"/>
  <c r="D760" i="1"/>
  <c r="E760" i="1" s="1"/>
  <c r="D759" i="1"/>
  <c r="E759" i="1" s="1"/>
  <c r="D756" i="1"/>
  <c r="E756" i="1" s="1"/>
  <c r="D755" i="1"/>
  <c r="D754" i="1"/>
  <c r="E754" i="1" s="1"/>
  <c r="D743" i="1"/>
  <c r="E743" i="1" s="1"/>
  <c r="D738" i="1"/>
  <c r="E738" i="1" s="1"/>
  <c r="D737" i="1"/>
  <c r="E737" i="1" s="1"/>
  <c r="D732" i="1"/>
  <c r="E732" i="1" s="1"/>
  <c r="D730" i="1"/>
  <c r="E730" i="1" s="1"/>
  <c r="D729" i="1"/>
  <c r="E729" i="1" s="1"/>
  <c r="D724" i="1"/>
  <c r="E724" i="1" s="1"/>
  <c r="D718" i="1"/>
  <c r="E718" i="1" s="1"/>
  <c r="D717" i="1"/>
  <c r="E717" i="1" s="1"/>
  <c r="D716" i="1"/>
  <c r="E716" i="1" s="1"/>
  <c r="D715" i="1"/>
  <c r="E715" i="1" s="1"/>
  <c r="D714" i="1"/>
  <c r="E714" i="1" s="1"/>
  <c r="D713" i="1"/>
  <c r="E713" i="1" s="1"/>
  <c r="D712" i="1"/>
  <c r="E712" i="1" s="1"/>
  <c r="D708" i="1"/>
  <c r="E708" i="1" s="1"/>
  <c r="D704" i="1"/>
  <c r="E704" i="1" s="1"/>
  <c r="D703" i="1"/>
  <c r="E703" i="1" s="1"/>
  <c r="D702" i="1"/>
  <c r="E702" i="1" s="1"/>
  <c r="D701" i="1"/>
  <c r="E701" i="1" s="1"/>
  <c r="D700" i="1"/>
  <c r="E700" i="1" s="1"/>
  <c r="D699" i="1"/>
  <c r="E699" i="1" s="1"/>
  <c r="D698" i="1"/>
  <c r="E698" i="1" s="1"/>
  <c r="D693" i="1"/>
  <c r="E693" i="1" s="1"/>
  <c r="D692" i="1"/>
  <c r="E692" i="1" s="1"/>
  <c r="D691" i="1"/>
  <c r="E691" i="1" s="1"/>
  <c r="D690" i="1"/>
  <c r="E690" i="1" s="1"/>
  <c r="D689" i="1"/>
  <c r="E689" i="1" s="1"/>
  <c r="D684" i="1"/>
  <c r="E684" i="1" s="1"/>
  <c r="D680" i="1"/>
  <c r="E680" i="1" s="1"/>
  <c r="D676" i="1"/>
  <c r="E676" i="1" s="1"/>
  <c r="D666" i="1"/>
  <c r="E666" i="1" s="1"/>
  <c r="D665" i="1"/>
  <c r="E665" i="1" s="1"/>
  <c r="D664" i="1"/>
  <c r="E664" i="1" s="1"/>
  <c r="D660" i="1"/>
  <c r="E660" i="1" s="1"/>
  <c r="D658" i="1"/>
  <c r="E658" i="1" s="1"/>
  <c r="D653" i="1"/>
  <c r="E653" i="1" s="1"/>
  <c r="D652" i="1"/>
  <c r="E652" i="1" s="1"/>
  <c r="D647" i="1"/>
  <c r="E647" i="1" s="1"/>
  <c r="D646" i="1"/>
  <c r="E646" i="1" s="1"/>
  <c r="D645" i="1"/>
  <c r="E645" i="1" s="1"/>
  <c r="D641" i="1"/>
  <c r="E641" i="1" s="1"/>
  <c r="D640" i="1"/>
  <c r="E640" i="1" s="1"/>
  <c r="D639" i="1"/>
  <c r="E639" i="1" s="1"/>
  <c r="D638" i="1"/>
  <c r="E638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1" i="1"/>
  <c r="E621" i="1" s="1"/>
  <c r="D620" i="1"/>
  <c r="E620" i="1" s="1"/>
  <c r="D619" i="1"/>
  <c r="E619" i="1" s="1"/>
  <c r="D613" i="1"/>
  <c r="E613" i="1" s="1"/>
  <c r="D612" i="1"/>
  <c r="E612" i="1" s="1"/>
  <c r="D611" i="1"/>
  <c r="E611" i="1" s="1"/>
  <c r="D610" i="1"/>
  <c r="E610" i="1" s="1"/>
  <c r="D606" i="1"/>
  <c r="E606" i="1" s="1"/>
  <c r="D602" i="1"/>
  <c r="E602" i="1" s="1"/>
  <c r="D601" i="1"/>
  <c r="E601" i="1" s="1"/>
  <c r="D595" i="1"/>
  <c r="E595" i="1" s="1"/>
  <c r="D594" i="1"/>
  <c r="E594" i="1" s="1"/>
  <c r="D593" i="1"/>
  <c r="E593" i="1" s="1"/>
  <c r="D592" i="1"/>
  <c r="E592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4" i="1"/>
  <c r="E574" i="1" s="1"/>
  <c r="D573" i="1"/>
  <c r="E573" i="1" s="1"/>
  <c r="D562" i="1"/>
  <c r="E562" i="1" s="1"/>
  <c r="D558" i="1"/>
  <c r="E558" i="1" s="1"/>
  <c r="D554" i="1"/>
  <c r="E554" i="1" s="1"/>
  <c r="D550" i="1"/>
  <c r="E550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34" i="1"/>
  <c r="E534" i="1" s="1"/>
  <c r="D533" i="1"/>
  <c r="E533" i="1" s="1"/>
  <c r="D532" i="1"/>
  <c r="E532" i="1" s="1"/>
  <c r="D528" i="1"/>
  <c r="E528" i="1" s="1"/>
  <c r="D527" i="1"/>
  <c r="E527" i="1" s="1"/>
  <c r="D526" i="1"/>
  <c r="E526" i="1" s="1"/>
  <c r="D522" i="1"/>
  <c r="E522" i="1" s="1"/>
  <c r="D521" i="1"/>
  <c r="E521" i="1" s="1"/>
  <c r="D520" i="1"/>
  <c r="E520" i="1" s="1"/>
  <c r="D519" i="1"/>
  <c r="E519" i="1" s="1"/>
  <c r="D518" i="1"/>
  <c r="E518" i="1" s="1"/>
  <c r="D510" i="1"/>
  <c r="E510" i="1" s="1"/>
  <c r="D509" i="1"/>
  <c r="E509" i="1" s="1"/>
  <c r="D508" i="1"/>
  <c r="E508" i="1" s="1"/>
  <c r="D504" i="1"/>
  <c r="E504" i="1" s="1"/>
  <c r="D499" i="1"/>
  <c r="E499" i="1" s="1"/>
  <c r="D494" i="1"/>
  <c r="E494" i="1" s="1"/>
  <c r="D485" i="1"/>
  <c r="E485" i="1" s="1"/>
  <c r="D484" i="1"/>
  <c r="E484" i="1" s="1"/>
  <c r="D483" i="1"/>
  <c r="E483" i="1" s="1"/>
  <c r="D479" i="1"/>
  <c r="E479" i="1" s="1"/>
  <c r="D478" i="1"/>
  <c r="E478" i="1" s="1"/>
  <c r="D477" i="1"/>
  <c r="E477" i="1" s="1"/>
  <c r="D476" i="1"/>
  <c r="E476" i="1" s="1"/>
  <c r="D472" i="1"/>
  <c r="E472" i="1" s="1"/>
  <c r="D471" i="1"/>
  <c r="E471" i="1" s="1"/>
  <c r="D470" i="1"/>
  <c r="E470" i="1" s="1"/>
  <c r="D467" i="1"/>
  <c r="E467" i="1" s="1"/>
  <c r="D466" i="1"/>
  <c r="E466" i="1" s="1"/>
  <c r="D465" i="1"/>
  <c r="E465" i="1" s="1"/>
  <c r="D461" i="1"/>
  <c r="E461" i="1" s="1"/>
  <c r="D460" i="1"/>
  <c r="E460" i="1" s="1"/>
  <c r="D459" i="1"/>
  <c r="E459" i="1" s="1"/>
  <c r="D458" i="1"/>
  <c r="E458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3" i="1"/>
  <c r="E443" i="1" s="1"/>
  <c r="D442" i="1"/>
  <c r="E442" i="1" s="1"/>
  <c r="D441" i="1"/>
  <c r="E441" i="1" s="1"/>
  <c r="D439" i="1"/>
  <c r="E439" i="1" s="1"/>
  <c r="D438" i="1"/>
  <c r="E438" i="1" s="1"/>
  <c r="D437" i="1"/>
  <c r="E437" i="1" s="1"/>
  <c r="D436" i="1"/>
  <c r="E436" i="1" s="1"/>
  <c r="D435" i="1"/>
  <c r="E435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18" i="1"/>
  <c r="E418" i="1" s="1"/>
  <c r="D417" i="1"/>
  <c r="E417" i="1" s="1"/>
  <c r="D415" i="1"/>
  <c r="E415" i="1" s="1"/>
  <c r="D411" i="1"/>
  <c r="E411" i="1" s="1"/>
  <c r="D408" i="1"/>
  <c r="E408" i="1" s="1"/>
  <c r="D402" i="1"/>
  <c r="E402" i="1" s="1"/>
  <c r="D398" i="1"/>
  <c r="E398" i="1" s="1"/>
  <c r="D396" i="1"/>
  <c r="E396" i="1" s="1"/>
  <c r="D392" i="1"/>
  <c r="E392" i="1" s="1"/>
  <c r="D390" i="1"/>
  <c r="E390" i="1" s="1"/>
  <c r="E386" i="1"/>
  <c r="D384" i="1"/>
  <c r="E384" i="1" s="1"/>
  <c r="D214" i="1"/>
  <c r="E214" i="1" s="1"/>
  <c r="D375" i="1"/>
  <c r="E375" i="1" s="1"/>
  <c r="D374" i="1"/>
  <c r="E374" i="1" s="1"/>
  <c r="D373" i="1"/>
  <c r="E373" i="1" s="1"/>
  <c r="D369" i="1"/>
  <c r="E369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3" i="1"/>
  <c r="E353" i="1" s="1"/>
  <c r="D352" i="1"/>
  <c r="E352" i="1" s="1"/>
  <c r="D351" i="1"/>
  <c r="E351" i="1" s="1"/>
  <c r="D346" i="1"/>
  <c r="E346" i="1" s="1"/>
  <c r="D341" i="1"/>
  <c r="E341" i="1" s="1"/>
  <c r="D338" i="1"/>
  <c r="E338" i="1" s="1"/>
  <c r="D333" i="1"/>
  <c r="E333" i="1" s="1"/>
  <c r="D332" i="1"/>
  <c r="E332" i="1" s="1"/>
  <c r="D328" i="1"/>
  <c r="E328" i="1" s="1"/>
  <c r="D324" i="1"/>
  <c r="E324" i="1" s="1"/>
  <c r="D318" i="1"/>
  <c r="E318" i="1" s="1"/>
  <c r="D314" i="1"/>
  <c r="E314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3" i="1"/>
  <c r="E293" i="1" s="1"/>
  <c r="D292" i="1"/>
  <c r="E292" i="1" s="1"/>
  <c r="D281" i="1"/>
  <c r="E281" i="1" s="1"/>
  <c r="D272" i="1"/>
  <c r="E272" i="1" s="1"/>
  <c r="D232" i="1"/>
  <c r="E226" i="1"/>
  <c r="D226" i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04" i="1"/>
  <c r="E204" i="1" s="1"/>
  <c r="D200" i="1"/>
  <c r="E200" i="1" s="1"/>
  <c r="D199" i="1"/>
  <c r="D194" i="1"/>
  <c r="E194" i="1" s="1"/>
  <c r="D181" i="1"/>
  <c r="E181" i="1" s="1"/>
  <c r="D180" i="1"/>
  <c r="E180" i="1" s="1"/>
  <c r="D179" i="1"/>
  <c r="E179" i="1" s="1"/>
  <c r="D175" i="1"/>
  <c r="E175" i="1" s="1"/>
  <c r="D171" i="1"/>
  <c r="E171" i="1" s="1"/>
  <c r="D167" i="1"/>
  <c r="E167" i="1" s="1"/>
  <c r="D162" i="1"/>
  <c r="E162" i="1" s="1"/>
  <c r="D161" i="1"/>
  <c r="E161" i="1" s="1"/>
  <c r="D160" i="1"/>
  <c r="E160" i="1" s="1"/>
  <c r="D159" i="1"/>
  <c r="E159" i="1" s="1"/>
  <c r="D158" i="1"/>
  <c r="E158" i="1" s="1"/>
  <c r="D154" i="1"/>
  <c r="E154" i="1" s="1"/>
  <c r="D153" i="1"/>
  <c r="E153" i="1" s="1"/>
  <c r="D152" i="1"/>
  <c r="E152" i="1" s="1"/>
  <c r="D151" i="1"/>
  <c r="E151" i="1" s="1"/>
  <c r="D187" i="1"/>
  <c r="E187" i="1" s="1"/>
  <c r="D186" i="1"/>
  <c r="E186" i="1" s="1"/>
  <c r="D185" i="1"/>
  <c r="E185" i="1" s="1"/>
  <c r="D144" i="1"/>
  <c r="E144" i="1" s="1"/>
  <c r="D137" i="1"/>
  <c r="E137" i="1" s="1"/>
  <c r="D135" i="1"/>
  <c r="E135" i="1" s="1"/>
  <c r="D131" i="1"/>
  <c r="E131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0" i="1"/>
  <c r="E110" i="1" s="1"/>
  <c r="D107" i="1"/>
  <c r="E107" i="1" s="1"/>
  <c r="D114" i="1"/>
  <c r="E114" i="1" s="1"/>
  <c r="D87" i="1"/>
  <c r="E87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5" i="1"/>
  <c r="E75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3" i="1"/>
  <c r="E63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27" i="1"/>
  <c r="E27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5" i="1"/>
  <c r="E15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339" i="1"/>
  <c r="E339" i="1" s="1"/>
  <c r="B205" i="1"/>
  <c r="B567" i="1"/>
  <c r="B568" i="1"/>
  <c r="B569" i="1"/>
  <c r="B570" i="1"/>
  <c r="B571" i="1"/>
  <c r="D733" i="1"/>
  <c r="E733" i="1" s="1"/>
  <c r="D489" i="1"/>
  <c r="D325" i="1"/>
  <c r="D234" i="1"/>
  <c r="E234" i="1" s="1"/>
  <c r="E325" i="1"/>
  <c r="E232" i="1" l="1"/>
  <c r="E199" i="1"/>
  <c r="D827" i="1"/>
  <c r="E827" i="1" s="1"/>
  <c r="D819" i="1"/>
  <c r="E819" i="1" s="1"/>
  <c r="D568" i="1"/>
  <c r="E568" i="1" s="1"/>
  <c r="D91" i="1"/>
  <c r="E91" i="1" s="1"/>
  <c r="D570" i="1"/>
  <c r="E570" i="1" s="1"/>
  <c r="D567" i="1"/>
  <c r="E567" i="1" s="1"/>
  <c r="D566" i="1"/>
  <c r="E566" i="1" s="1"/>
  <c r="D212" i="1"/>
  <c r="E212" i="1" s="1"/>
  <c r="D205" i="1"/>
  <c r="D569" i="1"/>
  <c r="E569" i="1" s="1"/>
  <c r="E205" i="1"/>
  <c r="D92" i="1"/>
  <c r="D571" i="1"/>
  <c r="E571" i="1" s="1"/>
  <c r="E755" i="1"/>
  <c r="E382" i="1"/>
  <c r="E92" i="1"/>
  <c r="B273" i="1" l="1"/>
  <c r="B13" i="2" s="1"/>
  <c r="G13" i="2" s="1"/>
  <c r="F13" i="2" s="1"/>
  <c r="B282" i="1" l="1"/>
  <c r="D273" i="1"/>
  <c r="E273" i="1"/>
  <c r="B286" i="1" l="1"/>
  <c r="B17" i="2" s="1"/>
  <c r="G17" i="2" s="1"/>
  <c r="F17" i="2" s="1"/>
  <c r="D282" i="1"/>
  <c r="E282" i="1"/>
  <c r="D385" i="1"/>
  <c r="B18" i="2" l="1"/>
  <c r="G18" i="2" s="1"/>
  <c r="F18" i="2" s="1"/>
  <c r="E286" i="1"/>
  <c r="D286" i="1"/>
  <c r="E385" i="1"/>
  <c r="D416" i="1"/>
  <c r="E416" i="1" s="1"/>
  <c r="E722" i="1" l="1"/>
  <c r="D723" i="1"/>
  <c r="E723" i="1" s="1"/>
  <c r="D725" i="1"/>
  <c r="E725" i="1" s="1"/>
  <c r="D728" i="1" l="1"/>
  <c r="E728" i="1" s="1"/>
  <c r="D337" i="1" l="1"/>
  <c r="E337" i="1" s="1"/>
  <c r="D340" i="1" l="1"/>
  <c r="E340" i="1" s="1"/>
  <c r="D290" i="1" l="1"/>
  <c r="E290" i="1" s="1"/>
  <c r="D291" i="1" l="1"/>
  <c r="E291" i="1" s="1"/>
  <c r="D97" i="1" l="1"/>
  <c r="E97" i="1" s="1"/>
  <c r="D108" i="1" l="1"/>
  <c r="E108" i="1" s="1"/>
  <c r="D102" i="1"/>
  <c r="E102" i="1" s="1"/>
  <c r="D100" i="1"/>
  <c r="E100" i="1" s="1"/>
  <c r="D101" i="1"/>
  <c r="E101" i="1" s="1"/>
  <c r="D98" i="1"/>
  <c r="E98" i="1" s="1"/>
  <c r="D99" i="1"/>
  <c r="E99" i="1" s="1"/>
  <c r="D96" i="1"/>
  <c r="E96" i="1" s="1"/>
  <c r="D403" i="1"/>
  <c r="E403" i="1" s="1"/>
  <c r="D409" i="1" l="1"/>
  <c r="E409" i="1" l="1"/>
  <c r="D397" i="1"/>
  <c r="E397" i="1" s="1"/>
  <c r="D391" i="1" l="1"/>
  <c r="E391" i="1" s="1"/>
  <c r="C132" i="1" l="1"/>
  <c r="B132" i="1" l="1"/>
  <c r="D132" i="1" l="1"/>
  <c r="E132" i="1"/>
  <c r="C370" i="1" l="1"/>
  <c r="B370" i="1" l="1"/>
  <c r="E370" i="1" s="1"/>
  <c r="D370" i="1" l="1"/>
  <c r="C694" i="1" l="1"/>
  <c r="C681" i="1"/>
  <c r="C661" i="1" l="1"/>
  <c r="B661" i="1" l="1"/>
  <c r="D661" i="1" s="1"/>
  <c r="C820" i="1"/>
  <c r="E661" i="1" l="1"/>
  <c r="C47" i="2"/>
  <c r="C790" i="1" l="1"/>
  <c r="C607" i="1" s="1"/>
  <c r="C393" i="1" l="1"/>
  <c r="C719" i="1"/>
  <c r="C709" i="1" l="1"/>
  <c r="B790" i="1"/>
  <c r="B227" i="1" s="1"/>
  <c r="C168" i="1" l="1"/>
  <c r="C529" i="1"/>
  <c r="C603" i="1"/>
  <c r="E790" i="1"/>
  <c r="D790" i="1"/>
  <c r="B607" i="1"/>
  <c r="C642" i="1" l="1"/>
  <c r="C31" i="2" s="1"/>
  <c r="C182" i="1"/>
  <c r="C547" i="1" s="1"/>
  <c r="B622" i="1"/>
  <c r="E607" i="1"/>
  <c r="D607" i="1"/>
  <c r="B393" i="1"/>
  <c r="B29" i="2" l="1"/>
  <c r="C399" i="1"/>
  <c r="B614" i="1"/>
  <c r="E393" i="1"/>
  <c r="D393" i="1"/>
  <c r="B719" i="1"/>
  <c r="B648" i="1" l="1"/>
  <c r="B32" i="2" s="1"/>
  <c r="B709" i="1"/>
  <c r="D719" i="1"/>
  <c r="E719" i="1"/>
  <c r="C195" i="1" l="1"/>
  <c r="B168" i="1"/>
  <c r="D709" i="1"/>
  <c r="E709" i="1"/>
  <c r="C176" i="1" l="1"/>
  <c r="C795" i="1"/>
  <c r="C38" i="2"/>
  <c r="D168" i="1"/>
  <c r="E168" i="1"/>
  <c r="B694" i="1"/>
  <c r="B681" i="1"/>
  <c r="B529" i="1"/>
  <c r="B603" i="1" l="1"/>
  <c r="B616" i="1" s="1"/>
  <c r="B28" i="2" s="1"/>
  <c r="B511" i="1"/>
  <c r="B642" i="1"/>
  <c r="B31" i="2" s="1"/>
  <c r="G31" i="2" s="1"/>
  <c r="F31" i="2" s="1"/>
  <c r="E681" i="1"/>
  <c r="D681" i="1"/>
  <c r="D529" i="1"/>
  <c r="E529" i="1"/>
  <c r="D694" i="1"/>
  <c r="E694" i="1"/>
  <c r="C266" i="1"/>
  <c r="E603" i="1" l="1"/>
  <c r="D603" i="1"/>
  <c r="D511" i="1"/>
  <c r="E511" i="1" s="1"/>
  <c r="B512" i="1"/>
  <c r="E642" i="1"/>
  <c r="D642" i="1"/>
  <c r="C329" i="1" l="1"/>
  <c r="B820" i="1"/>
  <c r="B47" i="2" s="1"/>
  <c r="G47" i="2" s="1"/>
  <c r="F47" i="2" s="1"/>
  <c r="B399" i="1"/>
  <c r="E820" i="1" l="1"/>
  <c r="D820" i="1"/>
  <c r="E399" i="1"/>
  <c r="D399" i="1"/>
  <c r="B462" i="1"/>
  <c r="C551" i="1" l="1"/>
  <c r="C188" i="1" s="1"/>
  <c r="B195" i="1" l="1"/>
  <c r="C555" i="1"/>
  <c r="D195" i="1" l="1"/>
  <c r="E195" i="1"/>
  <c r="C744" i="1" l="1"/>
  <c r="C523" i="1" s="1"/>
  <c r="B176" i="1" l="1"/>
  <c r="B11" i="2" s="1"/>
  <c r="B38" i="2"/>
  <c r="C334" i="1"/>
  <c r="E176" i="1" l="1"/>
  <c r="D176" i="1"/>
  <c r="B266" i="1"/>
  <c r="G38" i="2"/>
  <c r="F38" i="2" s="1"/>
  <c r="B795" i="1"/>
  <c r="B444" i="1" l="1"/>
  <c r="D266" i="1"/>
  <c r="E266" i="1"/>
  <c r="D795" i="1"/>
  <c r="E795" i="1"/>
  <c r="B405" i="1" l="1"/>
  <c r="B387" i="1" s="1"/>
  <c r="B329" i="1" l="1"/>
  <c r="C145" i="1"/>
  <c r="C147" i="1" s="1"/>
  <c r="C7" i="2" s="1"/>
  <c r="D329" i="1" l="1"/>
  <c r="E329" i="1"/>
  <c r="B28" i="1"/>
  <c r="C40" i="2"/>
  <c r="C505" i="1"/>
  <c r="C500" i="1" l="1"/>
  <c r="B551" i="1"/>
  <c r="B188" i="1" s="1"/>
  <c r="D188" i="1" l="1"/>
  <c r="E188" i="1"/>
  <c r="E551" i="1"/>
  <c r="D551" i="1"/>
  <c r="B555" i="1"/>
  <c r="D555" i="1" l="1"/>
  <c r="E555" i="1"/>
  <c r="B744" i="1" l="1"/>
  <c r="B523" i="1" s="1"/>
  <c r="D523" i="1" l="1"/>
  <c r="E523" i="1"/>
  <c r="E744" i="1"/>
  <c r="D744" i="1"/>
  <c r="B334" i="1"/>
  <c r="C376" i="1"/>
  <c r="C378" i="1" s="1"/>
  <c r="C22" i="2" s="1"/>
  <c r="E334" i="1" l="1"/>
  <c r="D334" i="1"/>
  <c r="E495" i="1" l="1"/>
  <c r="D495" i="1"/>
  <c r="B801" i="1"/>
  <c r="B677" i="1" l="1"/>
  <c r="B37" i="2" s="1"/>
  <c r="C667" i="1"/>
  <c r="C685" i="1" l="1"/>
  <c r="C39" i="2" s="1"/>
  <c r="B145" i="1"/>
  <c r="B147" i="1" s="1"/>
  <c r="B505" i="1"/>
  <c r="B7" i="2" l="1"/>
  <c r="E147" i="1"/>
  <c r="D147" i="1"/>
  <c r="E505" i="1"/>
  <c r="D505" i="1"/>
  <c r="B40" i="2"/>
  <c r="D145" i="1"/>
  <c r="E145" i="1"/>
  <c r="B500" i="1"/>
  <c r="C354" i="1"/>
  <c r="G7" i="2" l="1"/>
  <c r="F7" i="2" s="1"/>
  <c r="G40" i="2"/>
  <c r="F40" i="2" s="1"/>
  <c r="D500" i="1"/>
  <c r="E500" i="1"/>
  <c r="C740" i="1" l="1"/>
  <c r="C748" i="1" l="1"/>
  <c r="C563" i="1" l="1"/>
  <c r="C559" i="1" s="1"/>
  <c r="B376" i="1"/>
  <c r="B378" i="1" s="1"/>
  <c r="B22" i="2" l="1"/>
  <c r="G22" i="2" s="1"/>
  <c r="F22" i="2" s="1"/>
  <c r="E378" i="1"/>
  <c r="D378" i="1"/>
  <c r="D376" i="1"/>
  <c r="E376" i="1"/>
  <c r="B667" i="1" l="1"/>
  <c r="C419" i="1"/>
  <c r="B685" i="1" l="1"/>
  <c r="B431" i="1"/>
  <c r="B24" i="2" s="1"/>
  <c r="E667" i="1"/>
  <c r="D667" i="1"/>
  <c r="D685" i="1" s="1"/>
  <c r="E685" i="1" l="1"/>
  <c r="B39" i="2"/>
  <c r="G39" i="2" s="1"/>
  <c r="F39" i="2" s="1"/>
  <c r="B172" i="1"/>
  <c r="B354" i="1" l="1"/>
  <c r="D354" i="1" l="1"/>
  <c r="E354" i="1"/>
  <c r="B201" i="1"/>
  <c r="B208" i="1" s="1"/>
  <c r="B9" i="2" l="1"/>
  <c r="B740" i="1"/>
  <c r="E740" i="1" s="1"/>
  <c r="B816" i="1"/>
  <c r="B46" i="2" s="1"/>
  <c r="D740" i="1" l="1"/>
  <c r="B52" i="1"/>
  <c r="B748" i="1"/>
  <c r="E748" i="1" l="1"/>
  <c r="B563" i="1"/>
  <c r="D748" i="1"/>
  <c r="D563" i="1" l="1"/>
  <c r="B559" i="1"/>
  <c r="E563" i="1"/>
  <c r="B88" i="1"/>
  <c r="B155" i="1" l="1"/>
  <c r="B64" i="1"/>
  <c r="B76" i="1"/>
  <c r="D559" i="1"/>
  <c r="E559" i="1"/>
  <c r="B412" i="1"/>
  <c r="B486" i="1" l="1"/>
  <c r="B247" i="1"/>
  <c r="B419" i="1"/>
  <c r="B421" i="1" s="1"/>
  <c r="B125" i="1" l="1"/>
  <c r="B321" i="1"/>
  <c r="B16" i="1"/>
  <c r="B812" i="1"/>
  <c r="B45" i="2" s="1"/>
  <c r="D486" i="1"/>
  <c r="E486" i="1" s="1"/>
  <c r="B514" i="1"/>
  <c r="D419" i="1"/>
  <c r="E419" i="1"/>
  <c r="B535" i="1" l="1"/>
  <c r="B537" i="1" s="1"/>
  <c r="B348" i="1"/>
  <c r="B315" i="1"/>
  <c r="B40" i="1"/>
  <c r="B473" i="1" l="1"/>
  <c r="B705" i="1" s="1"/>
  <c r="B634" i="1"/>
  <c r="B30" i="2" s="1"/>
  <c r="B164" i="1"/>
  <c r="B487" i="1" l="1"/>
  <c r="B597" i="1"/>
  <c r="B27" i="2" s="1"/>
  <c r="B585" i="1"/>
  <c r="B365" i="1" s="1"/>
  <c r="B21" i="2" s="1"/>
  <c r="B138" i="1" l="1"/>
  <c r="B140" i="1" l="1"/>
  <c r="B6" i="2" s="1"/>
  <c r="B731" i="1"/>
  <c r="D731" i="1" l="1"/>
  <c r="E731" i="1" s="1"/>
  <c r="B301" i="1"/>
  <c r="B19" i="2" s="1"/>
  <c r="B455" i="1" l="1"/>
  <c r="B182" i="1" l="1"/>
  <c r="B774" i="1"/>
  <c r="B776" i="1" s="1"/>
  <c r="B42" i="2" l="1"/>
  <c r="B342" i="1"/>
  <c r="B786" i="1"/>
  <c r="B803" i="1" s="1"/>
  <c r="B547" i="1"/>
  <c r="D182" i="1"/>
  <c r="E182" i="1"/>
  <c r="B43" i="2" l="1"/>
  <c r="E547" i="1"/>
  <c r="D547" i="1"/>
  <c r="B190" i="1"/>
  <c r="B8" i="2" s="1"/>
  <c r="B261" i="1"/>
  <c r="B254" i="1" l="1"/>
  <c r="B480" i="1" l="1"/>
  <c r="B103" i="1"/>
  <c r="B109" i="1" s="1"/>
  <c r="D109" i="1" s="1"/>
  <c r="E109" i="1" s="1"/>
  <c r="B808" i="1"/>
  <c r="B44" i="2" s="1"/>
  <c r="B111" i="1" l="1"/>
  <c r="B23" i="2"/>
  <c r="B215" i="1"/>
  <c r="B10" i="2" s="1"/>
  <c r="B828" i="1" l="1"/>
  <c r="B575" i="1"/>
  <c r="B490" i="1"/>
  <c r="B25" i="2" s="1"/>
  <c r="B48" i="2" l="1"/>
  <c r="B127" i="1"/>
  <c r="B5" i="2" s="1"/>
  <c r="B734" i="1"/>
  <c r="B750" i="1" s="1"/>
  <c r="B41" i="2" s="1"/>
  <c r="B831" i="1" l="1"/>
  <c r="B49" i="2"/>
  <c r="D41" i="2" s="1"/>
  <c r="B589" i="1"/>
  <c r="B26" i="2" s="1"/>
  <c r="C462" i="1"/>
  <c r="D462" i="1" s="1"/>
  <c r="C405" i="1"/>
  <c r="E405" i="1" s="1"/>
  <c r="C387" i="1"/>
  <c r="C412" i="1"/>
  <c r="C247" i="1"/>
  <c r="E247" i="1" s="1"/>
  <c r="C125" i="1"/>
  <c r="D125" i="1" s="1"/>
  <c r="C348" i="1"/>
  <c r="C473" i="1"/>
  <c r="E473" i="1" s="1"/>
  <c r="C705" i="1"/>
  <c r="D705" i="1" s="1"/>
  <c r="C487" i="1"/>
  <c r="E487" i="1" s="1"/>
  <c r="C585" i="1"/>
  <c r="D585" i="1" s="1"/>
  <c r="C365" i="1"/>
  <c r="C21" i="2" s="1"/>
  <c r="G21" i="2" s="1"/>
  <c r="F21" i="2" s="1"/>
  <c r="C138" i="1"/>
  <c r="D138" i="1" s="1"/>
  <c r="C301" i="1"/>
  <c r="C19" i="2" s="1"/>
  <c r="G19" i="2" s="1"/>
  <c r="F19" i="2" s="1"/>
  <c r="C455" i="1"/>
  <c r="E455" i="1" s="1"/>
  <c r="C774" i="1"/>
  <c r="C776" i="1" s="1"/>
  <c r="C103" i="1"/>
  <c r="E103" i="1" s="1"/>
  <c r="C342" i="1"/>
  <c r="C343" i="1" s="1"/>
  <c r="C808" i="1"/>
  <c r="C44" i="2" s="1"/>
  <c r="G44" i="2" s="1"/>
  <c r="F44" i="2" s="1"/>
  <c r="C111" i="1"/>
  <c r="E111" i="1" s="1"/>
  <c r="C786" i="1"/>
  <c r="E786" i="1" s="1"/>
  <c r="C261" i="1"/>
  <c r="E261" i="1" s="1"/>
  <c r="C254" i="1"/>
  <c r="D254" i="1" s="1"/>
  <c r="C480" i="1"/>
  <c r="D480" i="1" s="1"/>
  <c r="C215" i="1"/>
  <c r="C10" i="2" s="1"/>
  <c r="G10" i="2" s="1"/>
  <c r="F10" i="2" s="1"/>
  <c r="C512" i="1"/>
  <c r="C514" i="1" s="1"/>
  <c r="C28" i="1"/>
  <c r="D28" i="1" s="1"/>
  <c r="C88" i="1"/>
  <c r="D88" i="1" s="1"/>
  <c r="C155" i="1"/>
  <c r="E155" i="1" s="1"/>
  <c r="C76" i="1"/>
  <c r="D76" i="1" s="1"/>
  <c r="C64" i="1"/>
  <c r="E64" i="1" s="1"/>
  <c r="C828" i="1"/>
  <c r="E828" i="1" s="1"/>
  <c r="C575" i="1"/>
  <c r="D575" i="1" s="1"/>
  <c r="C315" i="1"/>
  <c r="E315" i="1" s="1"/>
  <c r="C164" i="1"/>
  <c r="E164" i="1" s="1"/>
  <c r="C648" i="1"/>
  <c r="C32" i="2" s="1"/>
  <c r="G32" i="2" s="1"/>
  <c r="F32" i="2" s="1"/>
  <c r="C444" i="1"/>
  <c r="E444" i="1" s="1"/>
  <c r="C201" i="1"/>
  <c r="C208" i="1" s="1"/>
  <c r="C816" i="1"/>
  <c r="C46" i="2" s="1"/>
  <c r="G46" i="2" s="1"/>
  <c r="F46" i="2" s="1"/>
  <c r="C52" i="1"/>
  <c r="E52" i="1" s="1"/>
  <c r="C812" i="1"/>
  <c r="C45" i="2" s="1"/>
  <c r="G45" i="2" s="1"/>
  <c r="F45" i="2" s="1"/>
  <c r="C16" i="1"/>
  <c r="D16" i="1" s="1"/>
  <c r="C172" i="1"/>
  <c r="D172" i="1" s="1"/>
  <c r="C321" i="1"/>
  <c r="D321" i="1" s="1"/>
  <c r="C535" i="1"/>
  <c r="C537" i="1" s="1"/>
  <c r="C40" i="1"/>
  <c r="D40" i="1" s="1"/>
  <c r="C634" i="1"/>
  <c r="C30" i="2" s="1"/>
  <c r="G30" i="2" s="1"/>
  <c r="F30" i="2" s="1"/>
  <c r="C597" i="1"/>
  <c r="C27" i="2" s="1"/>
  <c r="G27" i="2" s="1"/>
  <c r="F27" i="2" s="1"/>
  <c r="C431" i="1"/>
  <c r="C24" i="2" s="1"/>
  <c r="G24" i="2" s="1"/>
  <c r="F24" i="2" s="1"/>
  <c r="C227" i="1"/>
  <c r="C11" i="2" s="1"/>
  <c r="G11" i="2" s="1"/>
  <c r="F11" i="2" s="1"/>
  <c r="E387" i="1"/>
  <c r="D387" i="1"/>
  <c r="D201" i="1"/>
  <c r="C734" i="1"/>
  <c r="C614" i="1"/>
  <c r="D614" i="1" s="1"/>
  <c r="C801" i="1"/>
  <c r="C677" i="1"/>
  <c r="C37" i="2" s="1"/>
  <c r="G37" i="2" s="1"/>
  <c r="F37" i="2" s="1"/>
  <c r="D774" i="1"/>
  <c r="C233" i="1"/>
  <c r="C236" i="1" s="1"/>
  <c r="B233" i="1"/>
  <c r="B343" i="1"/>
  <c r="B835" i="1" l="1"/>
  <c r="B53" i="2" s="1"/>
  <c r="C803" i="1"/>
  <c r="D803" i="1" s="1"/>
  <c r="E215" i="1"/>
  <c r="E412" i="1"/>
  <c r="C421" i="1"/>
  <c r="C23" i="2" s="1"/>
  <c r="G23" i="2" s="1"/>
  <c r="F23" i="2" s="1"/>
  <c r="D247" i="1"/>
  <c r="E348" i="1"/>
  <c r="C356" i="1"/>
  <c r="C20" i="2" s="1"/>
  <c r="B356" i="1"/>
  <c r="B20" i="2" s="1"/>
  <c r="C750" i="1"/>
  <c r="C41" i="2" s="1"/>
  <c r="G41" i="2" s="1"/>
  <c r="F41" i="2" s="1"/>
  <c r="E705" i="1"/>
  <c r="E480" i="1"/>
  <c r="E575" i="1"/>
  <c r="E76" i="1"/>
  <c r="D155" i="1"/>
  <c r="D301" i="1"/>
  <c r="E138" i="1"/>
  <c r="E301" i="1"/>
  <c r="E125" i="1"/>
  <c r="D444" i="1"/>
  <c r="E648" i="1"/>
  <c r="E16" i="1"/>
  <c r="E172" i="1"/>
  <c r="D111" i="1"/>
  <c r="D164" i="1"/>
  <c r="D103" i="1"/>
  <c r="E462" i="1"/>
  <c r="D48" i="2"/>
  <c r="D365" i="1"/>
  <c r="E808" i="1"/>
  <c r="D648" i="1"/>
  <c r="D412" i="1"/>
  <c r="E365" i="1"/>
  <c r="D808" i="1"/>
  <c r="D348" i="1"/>
  <c r="D473" i="1"/>
  <c r="E201" i="1"/>
  <c r="D261" i="1"/>
  <c r="E343" i="1"/>
  <c r="E812" i="1"/>
  <c r="D487" i="1"/>
  <c r="D342" i="1"/>
  <c r="E342" i="1" s="1"/>
  <c r="D812" i="1"/>
  <c r="D455" i="1"/>
  <c r="E734" i="1"/>
  <c r="E40" i="1"/>
  <c r="E512" i="1"/>
  <c r="D512" i="1"/>
  <c r="D315" i="1"/>
  <c r="C589" i="1"/>
  <c r="D734" i="1"/>
  <c r="E88" i="1"/>
  <c r="D405" i="1"/>
  <c r="D215" i="1"/>
  <c r="C190" i="1"/>
  <c r="C8" i="2" s="1"/>
  <c r="G8" i="2" s="1"/>
  <c r="F8" i="2" s="1"/>
  <c r="E254" i="1"/>
  <c r="D816" i="1"/>
  <c r="D64" i="1"/>
  <c r="E597" i="1"/>
  <c r="D828" i="1"/>
  <c r="E816" i="1"/>
  <c r="C490" i="1"/>
  <c r="E585" i="1"/>
  <c r="D597" i="1"/>
  <c r="C140" i="1"/>
  <c r="C268" i="1"/>
  <c r="E431" i="1"/>
  <c r="D52" i="1"/>
  <c r="D514" i="1"/>
  <c r="E514" i="1"/>
  <c r="B236" i="1"/>
  <c r="C127" i="1"/>
  <c r="D208" i="1"/>
  <c r="E208" i="1"/>
  <c r="D431" i="1"/>
  <c r="E774" i="1"/>
  <c r="E801" i="1"/>
  <c r="E535" i="1"/>
  <c r="D786" i="1"/>
  <c r="C622" i="1"/>
  <c r="D537" i="1"/>
  <c r="E537" i="1"/>
  <c r="D343" i="1"/>
  <c r="D801" i="1"/>
  <c r="D535" i="1"/>
  <c r="E28" i="1"/>
  <c r="D227" i="1"/>
  <c r="E614" i="1"/>
  <c r="D677" i="1"/>
  <c r="E321" i="1"/>
  <c r="E634" i="1"/>
  <c r="C616" i="1"/>
  <c r="D42" i="2"/>
  <c r="D46" i="2"/>
  <c r="D47" i="2"/>
  <c r="D37" i="2"/>
  <c r="D40" i="2"/>
  <c r="D38" i="2"/>
  <c r="D39" i="2"/>
  <c r="D45" i="2"/>
  <c r="D43" i="2"/>
  <c r="D44" i="2"/>
  <c r="C42" i="2"/>
  <c r="D776" i="1"/>
  <c r="E776" i="1"/>
  <c r="D233" i="1"/>
  <c r="E227" i="1"/>
  <c r="E677" i="1"/>
  <c r="D634" i="1"/>
  <c r="C48" i="2"/>
  <c r="G48" i="2" s="1"/>
  <c r="F48" i="2" s="1"/>
  <c r="C831" i="1" l="1"/>
  <c r="D750" i="1"/>
  <c r="G20" i="2"/>
  <c r="F20" i="2" s="1"/>
  <c r="E750" i="1"/>
  <c r="C43" i="2"/>
  <c r="G43" i="2" s="1"/>
  <c r="F43" i="2" s="1"/>
  <c r="E803" i="1"/>
  <c r="E831" i="1"/>
  <c r="D190" i="1"/>
  <c r="D356" i="1"/>
  <c r="D587" i="1"/>
  <c r="E356" i="1"/>
  <c r="E587" i="1"/>
  <c r="C26" i="2"/>
  <c r="G26" i="2" s="1"/>
  <c r="F26" i="2" s="1"/>
  <c r="D589" i="1"/>
  <c r="E490" i="1"/>
  <c r="E190" i="1"/>
  <c r="C12" i="2"/>
  <c r="C275" i="1"/>
  <c r="E589" i="1"/>
  <c r="D490" i="1"/>
  <c r="C25" i="2"/>
  <c r="G25" i="2" s="1"/>
  <c r="F25" i="2" s="1"/>
  <c r="D421" i="1"/>
  <c r="E421" i="1"/>
  <c r="C6" i="2"/>
  <c r="G6" i="2" s="1"/>
  <c r="F6" i="2" s="1"/>
  <c r="D140" i="1"/>
  <c r="E140" i="1"/>
  <c r="G42" i="2"/>
  <c r="F42" i="2" s="1"/>
  <c r="D49" i="2"/>
  <c r="E233" i="1"/>
  <c r="D236" i="1"/>
  <c r="C5" i="2"/>
  <c r="E127" i="1"/>
  <c r="D127" i="1"/>
  <c r="C9" i="2"/>
  <c r="G9" i="2" s="1"/>
  <c r="F9" i="2" s="1"/>
  <c r="C29" i="2"/>
  <c r="G29" i="2" s="1"/>
  <c r="F29" i="2" s="1"/>
  <c r="D622" i="1"/>
  <c r="E622" i="1"/>
  <c r="C28" i="2"/>
  <c r="E616" i="1"/>
  <c r="D616" i="1"/>
  <c r="B268" i="1"/>
  <c r="B275" i="1" s="1"/>
  <c r="E236" i="1"/>
  <c r="C49" i="2" l="1"/>
  <c r="G49" i="2" s="1"/>
  <c r="F49" i="2" s="1"/>
  <c r="D831" i="1"/>
  <c r="E275" i="1"/>
  <c r="D275" i="1"/>
  <c r="C14" i="2"/>
  <c r="G5" i="2"/>
  <c r="F5" i="2" s="1"/>
  <c r="G28" i="2"/>
  <c r="F28" i="2" s="1"/>
  <c r="B12" i="2"/>
  <c r="B14" i="2" s="1"/>
  <c r="D268" i="1"/>
  <c r="E268" i="1"/>
  <c r="G14" i="2" l="1"/>
  <c r="F14" i="2" s="1"/>
  <c r="D5" i="2"/>
  <c r="D9" i="2"/>
  <c r="D6" i="2"/>
  <c r="D8" i="2"/>
  <c r="D7" i="2"/>
  <c r="D10" i="2"/>
  <c r="D11" i="2"/>
  <c r="D13" i="2"/>
  <c r="D12" i="2"/>
  <c r="G12" i="2"/>
  <c r="F12" i="2" s="1"/>
  <c r="C655" i="1"/>
  <c r="C669" i="1" s="1"/>
  <c r="B655" i="1"/>
  <c r="B669" i="1" s="1"/>
  <c r="D14" i="2" l="1"/>
  <c r="B672" i="1"/>
  <c r="D669" i="1"/>
  <c r="C33" i="2"/>
  <c r="C34" i="2" s="1"/>
  <c r="C51" i="2" s="1"/>
  <c r="C672" i="1"/>
  <c r="C833" i="1" s="1"/>
  <c r="E669" i="1"/>
  <c r="B33" i="2"/>
  <c r="D655" i="1"/>
  <c r="E655" i="1"/>
  <c r="D672" i="1" l="1"/>
  <c r="E672" i="1"/>
  <c r="B833" i="1"/>
  <c r="B34" i="2"/>
  <c r="G33" i="2"/>
  <c r="F33" i="2" s="1"/>
  <c r="B837" i="1" l="1"/>
  <c r="E833" i="1"/>
  <c r="D833" i="1"/>
  <c r="D24" i="2"/>
  <c r="D18" i="2"/>
  <c r="D17" i="2"/>
  <c r="B51" i="2"/>
  <c r="E34" i="2" s="1"/>
  <c r="D29" i="2"/>
  <c r="D32" i="2"/>
  <c r="D30" i="2"/>
  <c r="D25" i="2"/>
  <c r="D22" i="2"/>
  <c r="D27" i="2"/>
  <c r="D26" i="2"/>
  <c r="D19" i="2"/>
  <c r="D23" i="2"/>
  <c r="G34" i="2"/>
  <c r="F34" i="2" s="1"/>
  <c r="D31" i="2"/>
  <c r="D20" i="2"/>
  <c r="D21" i="2"/>
  <c r="D28" i="2"/>
  <c r="D33" i="2"/>
  <c r="D34" i="2" l="1"/>
  <c r="E19" i="2"/>
  <c r="E31" i="2"/>
  <c r="E18" i="2"/>
  <c r="E43" i="2"/>
  <c r="E17" i="2"/>
  <c r="E30" i="2"/>
  <c r="E24" i="2"/>
  <c r="E20" i="2"/>
  <c r="E12" i="2"/>
  <c r="E39" i="2"/>
  <c r="E26" i="2"/>
  <c r="E7" i="2"/>
  <c r="E40" i="2"/>
  <c r="E25" i="2"/>
  <c r="E23" i="2"/>
  <c r="E46" i="2"/>
  <c r="E42" i="2"/>
  <c r="E10" i="2"/>
  <c r="E8" i="2"/>
  <c r="E11" i="2"/>
  <c r="E9" i="2"/>
  <c r="E29" i="2"/>
  <c r="E44" i="2"/>
  <c r="E21" i="2"/>
  <c r="G51" i="2"/>
  <c r="F51" i="2" s="1"/>
  <c r="E38" i="2"/>
  <c r="E41" i="2"/>
  <c r="E13" i="2"/>
  <c r="E47" i="2"/>
  <c r="E37" i="2"/>
  <c r="E45" i="2"/>
  <c r="E48" i="2"/>
  <c r="E28" i="2"/>
  <c r="B55" i="2"/>
  <c r="E6" i="2"/>
  <c r="E49" i="2"/>
  <c r="E27" i="2"/>
  <c r="E32" i="2"/>
  <c r="E22" i="2"/>
  <c r="E5" i="2"/>
  <c r="E33" i="2"/>
  <c r="E14" i="2" l="1"/>
  <c r="E51" i="2" s="1"/>
</calcChain>
</file>

<file path=xl/sharedStrings.xml><?xml version="1.0" encoding="utf-8"?>
<sst xmlns="http://schemas.openxmlformats.org/spreadsheetml/2006/main" count="759" uniqueCount="713">
  <si>
    <t>EXPENSES</t>
  </si>
  <si>
    <t>LITTLE KANAWHA DISTRICT</t>
  </si>
  <si>
    <t>500212 District Lead Team</t>
  </si>
  <si>
    <t>500215 Lodging &amp; Meals</t>
  </si>
  <si>
    <t>500220 Office Rent &amp; Utilities</t>
  </si>
  <si>
    <t>500230 Parsonage Utilities</t>
  </si>
  <si>
    <t>500235 Phone - Office &amp; Parsonage</t>
  </si>
  <si>
    <t>500240 Postage</t>
  </si>
  <si>
    <t>500245 Travel</t>
  </si>
  <si>
    <t>TOTAL LITTLE KANAWHA DISTRICT</t>
  </si>
  <si>
    <t>500312 District Lead Team</t>
  </si>
  <si>
    <t>500315 Lodging &amp; Meals</t>
  </si>
  <si>
    <t>500320 Office Rent &amp; Utilities</t>
  </si>
  <si>
    <t>500330 Parsonage Utilities</t>
  </si>
  <si>
    <t>500335 Phone - Office &amp; Parsonage</t>
  </si>
  <si>
    <t>500340 Postage</t>
  </si>
  <si>
    <t>500345 Travel</t>
  </si>
  <si>
    <t>TOTAL MIDLAND SOUTH DISTRICT</t>
  </si>
  <si>
    <t>500412 District Lead Team</t>
  </si>
  <si>
    <t>500415 Lodging &amp; Meals</t>
  </si>
  <si>
    <t>500420 Office Rent &amp; Utilities</t>
  </si>
  <si>
    <t>500430 Parsonage Utilities</t>
  </si>
  <si>
    <t>500435 Phone - Office &amp; Parsonage</t>
  </si>
  <si>
    <t>500440 Postage</t>
  </si>
  <si>
    <t>500445 Travel</t>
  </si>
  <si>
    <t>NORTHERN DISTRICT</t>
  </si>
  <si>
    <t>500512 District  Lead Team</t>
  </si>
  <si>
    <t>500515 Lodging &amp; Meals</t>
  </si>
  <si>
    <t>500520 Office Rent &amp; Utilities</t>
  </si>
  <si>
    <t>500530 Parsonage Utilities</t>
  </si>
  <si>
    <t>500535 Phone - Office &amp; Parsonage</t>
  </si>
  <si>
    <t>500540 Postage</t>
  </si>
  <si>
    <t>500545 Travel</t>
  </si>
  <si>
    <t>TOTAL NORTHERN DISTRICT</t>
  </si>
  <si>
    <t>POTOMAC HIGHLANDS DISTRICT</t>
  </si>
  <si>
    <t>500612 District Lead Team</t>
  </si>
  <si>
    <t>500615 Lodging &amp; Meals</t>
  </si>
  <si>
    <t>500620 Office Rent &amp; Utilities</t>
  </si>
  <si>
    <t>500630 Parsonage Utilities</t>
  </si>
  <si>
    <t>500635 Phone - Office &amp; Parsonage</t>
  </si>
  <si>
    <t>500640 Postage</t>
  </si>
  <si>
    <t>500645 Travel</t>
  </si>
  <si>
    <t>TOTAL POTOMAC HIGHLANDS DISTRICT</t>
  </si>
  <si>
    <t>SOUTHERN DISTRICT</t>
  </si>
  <si>
    <t>500712 District Lead Team</t>
  </si>
  <si>
    <t>500715 Lodging &amp; Meals</t>
  </si>
  <si>
    <t>500720 Office Rent &amp; Utilities</t>
  </si>
  <si>
    <t>500730 Parsonage Utilities</t>
  </si>
  <si>
    <t>500735 Phone - Office &amp; Parsonage</t>
  </si>
  <si>
    <t>500740 Postage</t>
  </si>
  <si>
    <t>500745 Travel</t>
  </si>
  <si>
    <t>TOTAL SOUTHERN DISTRICT</t>
  </si>
  <si>
    <t>500815 Lodging &amp; Meals</t>
  </si>
  <si>
    <t>500820 Office Rent &amp; Utilities</t>
  </si>
  <si>
    <t>500830 Parsonage Utilities</t>
  </si>
  <si>
    <t>500835 Phone - Office &amp; Parsonage</t>
  </si>
  <si>
    <t>500840 Postage</t>
  </si>
  <si>
    <t>500845 Travel</t>
  </si>
  <si>
    <t>TOTAL WESLEYAN DISTRICT</t>
  </si>
  <si>
    <t>District Superintendents</t>
  </si>
  <si>
    <t>501099 Salaries District Superintendents</t>
  </si>
  <si>
    <t>Total District Superintendents</t>
  </si>
  <si>
    <t>501150 Greenbrier</t>
  </si>
  <si>
    <t>501155 Little Kanawha</t>
  </si>
  <si>
    <t>501160 Midland South</t>
  </si>
  <si>
    <t>501165 Mon-Valley District</t>
  </si>
  <si>
    <t>501170 Northern</t>
  </si>
  <si>
    <t>501175 Potomac Highlands</t>
  </si>
  <si>
    <t>501180 Southern</t>
  </si>
  <si>
    <t>501185 Wesleyan</t>
  </si>
  <si>
    <t>TOTAL SECRETARIES SALARIES</t>
  </si>
  <si>
    <t>- OTHER SALARY ITEMS</t>
  </si>
  <si>
    <t>501275 Employer Pension Contributions and BPP</t>
  </si>
  <si>
    <t>501280 Salary Contingency</t>
  </si>
  <si>
    <t>501290 Workers Compensation</t>
  </si>
  <si>
    <t>TOTAL - OTHER SALARY ITEMS</t>
  </si>
  <si>
    <t>OTHER EXPENSES</t>
  </si>
  <si>
    <t>501319 Cabinet Discretionary Funds</t>
  </si>
  <si>
    <t>501320 Continuing Education</t>
  </si>
  <si>
    <t>501325 Comp Req Special Circumstance</t>
  </si>
  <si>
    <t>501326 Comp Req Ethnic Min</t>
  </si>
  <si>
    <t>501330 Meetings Outside District</t>
  </si>
  <si>
    <t>501340 Moving Expense</t>
  </si>
  <si>
    <t>501350 Seminary Visitation</t>
  </si>
  <si>
    <t>501360 Study Renewal</t>
  </si>
  <si>
    <t>501370 Training New Superintendents</t>
  </si>
  <si>
    <t>501380 Transition Expenses</t>
  </si>
  <si>
    <t>TOTAL OTHER EXPENSES</t>
  </si>
  <si>
    <t>ADMINISTRATION</t>
  </si>
  <si>
    <t>500075 Telephone, Supplies, Postage</t>
  </si>
  <si>
    <t>TOTAL ADMINISTRATION</t>
  </si>
  <si>
    <t>PROGRAM</t>
  </si>
  <si>
    <t>500125 Equitable Claims</t>
  </si>
  <si>
    <t>500175 Renewal Leave</t>
  </si>
  <si>
    <t>TOTAL PROGRAM</t>
  </si>
  <si>
    <t>PAID DIRECT BILLING</t>
  </si>
  <si>
    <t>500119 Budgeted</t>
  </si>
  <si>
    <t>TOTAL PAID DIRECT BILLING</t>
  </si>
  <si>
    <t>500025 Administration</t>
  </si>
  <si>
    <t>500010 Meetings</t>
  </si>
  <si>
    <t>500025 Quad Training</t>
  </si>
  <si>
    <t>500030 Ordination</t>
  </si>
  <si>
    <t>500033 Other</t>
  </si>
  <si>
    <t>ENLISTMENT AND CANDIDACY</t>
  </si>
  <si>
    <t>500045 Ministry Exploration Event</t>
  </si>
  <si>
    <t>500048 Candidacy</t>
  </si>
  <si>
    <t>500050 Psychological Evaluation</t>
  </si>
  <si>
    <t>500060 Local Pastors License Studies</t>
  </si>
  <si>
    <t>500070 Seminary Visitation / Recruitment</t>
  </si>
  <si>
    <t>TOTAL ENLISTMENT AND CANDIDACY</t>
  </si>
  <si>
    <t>COURSE OF STUDY</t>
  </si>
  <si>
    <t>500305 Course of Study</t>
  </si>
  <si>
    <t>TOTAL COURSE OF STUDY</t>
  </si>
  <si>
    <t>SCHOLARSHIP</t>
  </si>
  <si>
    <t>500505 Seminary Schol Transfer to Dept 398</t>
  </si>
  <si>
    <t>TOTAL SCHOLARSHIP</t>
  </si>
  <si>
    <t>INTERVIEW &amp; EVALUATION</t>
  </si>
  <si>
    <t>500605 Psychological Counseling Recommended</t>
  </si>
  <si>
    <t>TOTAL INTERVIEW &amp; EVALUATION</t>
  </si>
  <si>
    <t>CENTER FOR MINISTRY</t>
  </si>
  <si>
    <t>500705 Order of Elders</t>
  </si>
  <si>
    <t>500710 Order of Deacons</t>
  </si>
  <si>
    <t>500715 Fellowship of AM and LP</t>
  </si>
  <si>
    <t>TOTAL CENTER FOR MINISTRY</t>
  </si>
  <si>
    <t>GENERAL EXPENSES</t>
  </si>
  <si>
    <t>500100 Administration</t>
  </si>
  <si>
    <t>TOTAL GENERAL EXPENSES</t>
  </si>
  <si>
    <t>TRAINING</t>
  </si>
  <si>
    <t>TOTAL TRAINING</t>
  </si>
  <si>
    <t>SUPPLIES POSTAGE COPIES</t>
  </si>
  <si>
    <t>510530 Supplies, Copies, Postage</t>
  </si>
  <si>
    <t>TOTAL SUPPLIES POSTAGE COPIES</t>
  </si>
  <si>
    <t>500050 Lawn / Landcaping</t>
  </si>
  <si>
    <t>500075 Major Appliance Purchases</t>
  </si>
  <si>
    <t>500100 Pest Control</t>
  </si>
  <si>
    <t>500125 Repair / Maintenance</t>
  </si>
  <si>
    <t>500150 Reserve for Maintenance</t>
  </si>
  <si>
    <t>500160 Utilities for Bishops Residence</t>
  </si>
  <si>
    <t>500175 Other</t>
  </si>
  <si>
    <t>BUDGET</t>
  </si>
  <si>
    <t>500025 Budgeted</t>
  </si>
  <si>
    <t>TOTAL BUDGET</t>
  </si>
  <si>
    <t>BENEFIT ASSISTANCE</t>
  </si>
  <si>
    <t>TOTAL BENEFIT ASSISTANCE</t>
  </si>
  <si>
    <t>Total Claims Paid</t>
  </si>
  <si>
    <t>LIFE INSURANCE</t>
  </si>
  <si>
    <t>TOTAL LIFE INSURANCE</t>
  </si>
  <si>
    <t>500025 Disbursements to General Church</t>
  </si>
  <si>
    <t>500025 General Church Disbursements</t>
  </si>
  <si>
    <t>500100 Distribution</t>
  </si>
  <si>
    <t>500036 Copier Maintenance</t>
  </si>
  <si>
    <t>500040 Envelopes</t>
  </si>
  <si>
    <t>500045 Equipment Maintenance</t>
  </si>
  <si>
    <t>500046 Equipment Replacement</t>
  </si>
  <si>
    <t>500055 Paper Supplies</t>
  </si>
  <si>
    <t>500060 Postage &amp; Permits</t>
  </si>
  <si>
    <t>500065 Postage Meter</t>
  </si>
  <si>
    <t>500066 Postage Meter Supplies</t>
  </si>
  <si>
    <t>TOTAL GENERAL CENTRAL SERVICE</t>
  </si>
  <si>
    <t>EMERGING MINISTRIES</t>
  </si>
  <si>
    <t>500210 Budgeted</t>
  </si>
  <si>
    <t>TOTAL EMERGING MINISTRIES</t>
  </si>
  <si>
    <t>CONFICT TRANSFORMATION</t>
  </si>
  <si>
    <t>500265 Conflict Team Expenses</t>
  </si>
  <si>
    <t>TOTAL CONFICT TRANSFORMATION</t>
  </si>
  <si>
    <t>MEETINGS</t>
  </si>
  <si>
    <t>500285 Spiritual Formation</t>
  </si>
  <si>
    <t>TOTAL MEETINGS</t>
  </si>
  <si>
    <t>OFFICE EXPENSE</t>
  </si>
  <si>
    <t>500525 General Office Expenses</t>
  </si>
  <si>
    <t>500575 Printing &amp; Mailing</t>
  </si>
  <si>
    <t>TOTAL OFFICE EXPENSE</t>
  </si>
  <si>
    <t>SALARY / BENEFITS</t>
  </si>
  <si>
    <t>500625 FICA / Employer Pension Contributions</t>
  </si>
  <si>
    <t>500630 Moving Expense</t>
  </si>
  <si>
    <t>500635 Staff Salaries &amp; Housing</t>
  </si>
  <si>
    <t>500645 Support Staff Salaries</t>
  </si>
  <si>
    <t>500665 Workers Compensation</t>
  </si>
  <si>
    <t>500675 Salary Contingency</t>
  </si>
  <si>
    <t>TOTAL SALARY / BENEFITS</t>
  </si>
  <si>
    <t>TRAVEL</t>
  </si>
  <si>
    <t>500820 Budgeted</t>
  </si>
  <si>
    <t>TOTAL TRAVEL</t>
  </si>
  <si>
    <t>500920 Staff - Continuing Education</t>
  </si>
  <si>
    <t>500930 Staff Training</t>
  </si>
  <si>
    <t>500940 Staff Training Resources</t>
  </si>
  <si>
    <t>500110 Digital Communications</t>
  </si>
  <si>
    <t>500115 Equipment Fund</t>
  </si>
  <si>
    <t>500120 Media Ministry</t>
  </si>
  <si>
    <t>500121 Media Resources</t>
  </si>
  <si>
    <t>500125 Print Media</t>
  </si>
  <si>
    <t>500035 Budgeted</t>
  </si>
  <si>
    <t>500210 Church &amp; Society</t>
  </si>
  <si>
    <t>500250 Prison Ministries</t>
  </si>
  <si>
    <t>500275 Status / Role Women</t>
  </si>
  <si>
    <t>500025 Board Administration</t>
  </si>
  <si>
    <t>500035 New Campus Min Budgeted</t>
  </si>
  <si>
    <t>500075 WV Wesleyan College</t>
  </si>
  <si>
    <t>500055 Moving Expense</t>
  </si>
  <si>
    <t>500065 Salary Contingency</t>
  </si>
  <si>
    <t>500075 Workers Compensation</t>
  </si>
  <si>
    <t>CONCORD COLLEGE</t>
  </si>
  <si>
    <t>500130 Business Expenses</t>
  </si>
  <si>
    <t>500135 Housing and Salary</t>
  </si>
  <si>
    <t>500140 Unit Support</t>
  </si>
  <si>
    <t>TOTAL CONCORD COLLEGE</t>
  </si>
  <si>
    <t>FAIRMONT</t>
  </si>
  <si>
    <t>500201 Business Expense</t>
  </si>
  <si>
    <t>500230 Salary &amp; Housing</t>
  </si>
  <si>
    <t>500240 Unit Support</t>
  </si>
  <si>
    <t>TOTAL FAIRMONT</t>
  </si>
  <si>
    <t>MARSHALL</t>
  </si>
  <si>
    <t>500402 Building Expense</t>
  </si>
  <si>
    <t>500430 Salary &amp; Housing</t>
  </si>
  <si>
    <t>500440 Unit Support</t>
  </si>
  <si>
    <t>TOTAL MARSHALL</t>
  </si>
  <si>
    <t>WEST LIBERTY</t>
  </si>
  <si>
    <t>500501 Business Expense</t>
  </si>
  <si>
    <t>500530 Salary &amp; Housing</t>
  </si>
  <si>
    <t>500540 Unit Support</t>
  </si>
  <si>
    <t>TOTAL WEST LIBERTY</t>
  </si>
  <si>
    <t>WVU</t>
  </si>
  <si>
    <t>500601 Business Expense</t>
  </si>
  <si>
    <t>500630 Salary (Total Comp Incl Lay Housing Taxable)</t>
  </si>
  <si>
    <t>500631 Benefits</t>
  </si>
  <si>
    <t>500640 Unit Support</t>
  </si>
  <si>
    <t>TOTAL WVU</t>
  </si>
  <si>
    <t>500025 Board Meetings</t>
  </si>
  <si>
    <t>500050 Laity Banquet</t>
  </si>
  <si>
    <t>500075 Lay Ministries</t>
  </si>
  <si>
    <t>500079 Lay Speaking Ministries</t>
  </si>
  <si>
    <t>500100 Postage, Phone, Supplies</t>
  </si>
  <si>
    <t>500105 Scouting</t>
  </si>
  <si>
    <t>500108 Stewardship</t>
  </si>
  <si>
    <t>500030 Equipment</t>
  </si>
  <si>
    <t>500032 Membership/Assoc Dues</t>
  </si>
  <si>
    <t>500035 Postage</t>
  </si>
  <si>
    <t>500036 Software &amp; Fees</t>
  </si>
  <si>
    <t>500038 Staff Travel</t>
  </si>
  <si>
    <t>500040 Supplies</t>
  </si>
  <si>
    <t>500045 Telephone</t>
  </si>
  <si>
    <t>500050 Other</t>
  </si>
  <si>
    <t>BUILDINGS / GROUNDS</t>
  </si>
  <si>
    <t>500125 Electricity</t>
  </si>
  <si>
    <t>500130 Equipment</t>
  </si>
  <si>
    <t>500135 Garbage</t>
  </si>
  <si>
    <t>500140 Gas</t>
  </si>
  <si>
    <t>500145 Gasoline / Oil</t>
  </si>
  <si>
    <t>500150 Maintenance</t>
  </si>
  <si>
    <t>500155 Vehicle Insurance</t>
  </si>
  <si>
    <t>500160 Water Treatment</t>
  </si>
  <si>
    <t>TOTAL BUILDINGS / GROUNDS</t>
  </si>
  <si>
    <t>FOOD SERVICE / HOUSE KEEPING</t>
  </si>
  <si>
    <t>500225 Food</t>
  </si>
  <si>
    <t>500230 Kitchen Equipment</t>
  </si>
  <si>
    <t>500234 Purchases for Resale</t>
  </si>
  <si>
    <t>500235 Supplies</t>
  </si>
  <si>
    <t>TOTAL FOOD SERVICE / HOUSE KEEPING</t>
  </si>
  <si>
    <t>500325 Information / Publicity</t>
  </si>
  <si>
    <t>500327 Program Supplies</t>
  </si>
  <si>
    <t>500331 Ropes Course</t>
  </si>
  <si>
    <t>500335 Summer Camp Staff</t>
  </si>
  <si>
    <t>500338 Summer Camp Volunteer Recognition</t>
  </si>
  <si>
    <t>500339 Swimming Pool Operations</t>
  </si>
  <si>
    <t>PERSONNEL</t>
  </si>
  <si>
    <t>500425 Administrative Assistant</t>
  </si>
  <si>
    <t>500430 Building / Grounds Employees</t>
  </si>
  <si>
    <t>500435 Cooks / Housekeepers</t>
  </si>
  <si>
    <t>500449 Site Manager</t>
  </si>
  <si>
    <t>TOTAL PERSONNEL</t>
  </si>
  <si>
    <t>PENSION / OTHER SALARY ITEMS</t>
  </si>
  <si>
    <t>500525 Employers Pension Contributions</t>
  </si>
  <si>
    <t>500530 FICA</t>
  </si>
  <si>
    <t>500535 Workers Compensation</t>
  </si>
  <si>
    <t>500540 Contingency</t>
  </si>
  <si>
    <t>TOTAL PENSION / OTHER SALARY ITEMS</t>
  </si>
  <si>
    <t>500030 BUDGETED - ADMINISTRATION</t>
  </si>
  <si>
    <t>PARISH DEV ADMINISTRATION</t>
  </si>
  <si>
    <t>PARISH COORDINATORS</t>
  </si>
  <si>
    <t>500325 Budgeted</t>
  </si>
  <si>
    <t>TOTAL PARISH COORDINATORS</t>
  </si>
  <si>
    <t>CHURCH &amp; COMM WORKERS</t>
  </si>
  <si>
    <t>500410 Advisory Committee</t>
  </si>
  <si>
    <t>500418 CCW Project Work</t>
  </si>
  <si>
    <t>500419 Budgeted Ch &amp; Comm Wkrs</t>
  </si>
  <si>
    <t>500440 Salary Contingency</t>
  </si>
  <si>
    <t>TOTAL CHURCH &amp; COMM WORKERS</t>
  </si>
  <si>
    <t>500030 Administration</t>
  </si>
  <si>
    <t>500035 Disability Ministries</t>
  </si>
  <si>
    <t>500046 Global Health</t>
  </si>
  <si>
    <t>500055 Hunger Committee</t>
  </si>
  <si>
    <t>500065 Refugee Ministries</t>
  </si>
  <si>
    <t>DISASTER RESPONSE</t>
  </si>
  <si>
    <t>500220 Administration</t>
  </si>
  <si>
    <t>500245 Training</t>
  </si>
  <si>
    <t>500247 Equipment Maintenance</t>
  </si>
  <si>
    <t>TOTAL DISASTER RESPONSE</t>
  </si>
  <si>
    <t>Health &amp; Welfare</t>
  </si>
  <si>
    <t>500305 Burlington UMFS</t>
  </si>
  <si>
    <t>500310 Contingency</t>
  </si>
  <si>
    <t>Total Health &amp; Welfare</t>
  </si>
  <si>
    <t>500045 Conference Global Ministry Secretary</t>
  </si>
  <si>
    <t>500047 Mentoring Directors / Boards</t>
  </si>
  <si>
    <t>500050 Missionary Itineration</t>
  </si>
  <si>
    <t>500060 Project Directors Meetings</t>
  </si>
  <si>
    <t>500065 Review &amp; Evaluation</t>
  </si>
  <si>
    <t>MISSION MIN GRANTS</t>
  </si>
  <si>
    <t>500155 Budgeted</t>
  </si>
  <si>
    <t>TOTAL MISSION MIN GRANTS</t>
  </si>
  <si>
    <t>MISSION SATURATION</t>
  </si>
  <si>
    <t>500164 Budgeted</t>
  </si>
  <si>
    <t>TOTAL MISSION SATURATION</t>
  </si>
  <si>
    <t>VISION DEPOT</t>
  </si>
  <si>
    <t>500171 Distributions</t>
  </si>
  <si>
    <t>TOTAL VISION DEPOT</t>
  </si>
  <si>
    <t>VIM COORDINATOR</t>
  </si>
  <si>
    <t>500181 Pay VIM Coordinator</t>
  </si>
  <si>
    <t>TOTAL VIM COORDINATOR</t>
  </si>
  <si>
    <t>500325 Heart and Hand Outreach Min South Chas</t>
  </si>
  <si>
    <t>500330 Ebenezer Community Outreach</t>
  </si>
  <si>
    <t>500335 Heart &amp; Hand House</t>
  </si>
  <si>
    <t>500340 House of the Carpenter</t>
  </si>
  <si>
    <t>500350 Scotts Run Settlement House</t>
  </si>
  <si>
    <t>500355 Tyrand Cooperative Ministries</t>
  </si>
  <si>
    <t>500358 Upshur Parish House</t>
  </si>
  <si>
    <t>500360 Contingency</t>
  </si>
  <si>
    <t>500365 Workers Compensation</t>
  </si>
  <si>
    <t>WORK FUNDS</t>
  </si>
  <si>
    <t>500425 Heart and Hand House Outreach South Chas</t>
  </si>
  <si>
    <t>500430 Ebenezer Community Outreach</t>
  </si>
  <si>
    <t>500435 Heart &amp; Hand House</t>
  </si>
  <si>
    <t>500440 House of the Carpenter</t>
  </si>
  <si>
    <t>500450 Scotts Run Settlement House</t>
  </si>
  <si>
    <t>500455 Tyrand Cooperative Ministries</t>
  </si>
  <si>
    <t>500458 Upshur Parish House</t>
  </si>
  <si>
    <t>TOTAL WORK FUNDS</t>
  </si>
  <si>
    <t>500095 Administration</t>
  </si>
  <si>
    <t>500100 Meetings</t>
  </si>
  <si>
    <t>500175 WV Council of Church Delegates</t>
  </si>
  <si>
    <t>500180 WV Council of Churches</t>
  </si>
  <si>
    <t>ELCC</t>
  </si>
  <si>
    <t>500110 Administration</t>
  </si>
  <si>
    <t>500120 Capital Ministry Grants</t>
  </si>
  <si>
    <t>TOTAL ELCC</t>
  </si>
  <si>
    <t>CONAM</t>
  </si>
  <si>
    <t>TOTAL CONAM</t>
  </si>
  <si>
    <t>CORR</t>
  </si>
  <si>
    <t>500310 Administration</t>
  </si>
  <si>
    <t>500320 Caucus Support</t>
  </si>
  <si>
    <t>500330 Education &amp; Training</t>
  </si>
  <si>
    <t>500340 Maintaining Support</t>
  </si>
  <si>
    <t>TOTAL CORR</t>
  </si>
  <si>
    <t>500120 Program</t>
  </si>
  <si>
    <t>500130 Resources</t>
  </si>
  <si>
    <t>500050 CCYM Meetings</t>
  </si>
  <si>
    <t>500075 Conference Youth Coordinator</t>
  </si>
  <si>
    <t>500080 District Youth Min Promo</t>
  </si>
  <si>
    <t>500120 Leadership Development / YAC</t>
  </si>
  <si>
    <t>500125 NEJCYM</t>
  </si>
  <si>
    <t>500175 Office Expense</t>
  </si>
  <si>
    <t>500240 Youth Events</t>
  </si>
  <si>
    <t>500247 YSF Fund Raising Expenses</t>
  </si>
  <si>
    <t>500110 Ministries</t>
  </si>
  <si>
    <t>500120 Resources</t>
  </si>
  <si>
    <t>500130 Training</t>
  </si>
  <si>
    <t>500200 Summit Event</t>
  </si>
  <si>
    <t>500300 Travel &amp; Resourcing</t>
  </si>
  <si>
    <t>500045 Jursidictional Fees</t>
  </si>
  <si>
    <t>500055 Meetings</t>
  </si>
  <si>
    <t>500060 Office Expenses</t>
  </si>
  <si>
    <t>ARCHIVE CENTER</t>
  </si>
  <si>
    <t>500125 Archivist</t>
  </si>
  <si>
    <t>500145 Supplies / Maintenance Agreements etc.</t>
  </si>
  <si>
    <t>TOTAL ARCHIVE CENTER</t>
  </si>
  <si>
    <t>REHOBETH MUSEUM</t>
  </si>
  <si>
    <t>500332 Lawn Maintenance</t>
  </si>
  <si>
    <t>500334 Repairs / Supplies</t>
  </si>
  <si>
    <t>500335 Utilities</t>
  </si>
  <si>
    <t>TOTAL REHOBETH MUSEUM</t>
  </si>
  <si>
    <t>500025 Disbursements</t>
  </si>
  <si>
    <t>500050 Jurisdiction Dues</t>
  </si>
  <si>
    <t>500235 District Trips</t>
  </si>
  <si>
    <t>500245 Jurisdiction</t>
  </si>
  <si>
    <t>500255 National Association</t>
  </si>
  <si>
    <t>500265 Office Expenses</t>
  </si>
  <si>
    <t>500035 Audit</t>
  </si>
  <si>
    <t>500040 General Supplies</t>
  </si>
  <si>
    <t>500045 Legal Fees</t>
  </si>
  <si>
    <t>500050 Paper &amp; Envelopes</t>
  </si>
  <si>
    <t>500055 Postage</t>
  </si>
  <si>
    <t>500060 Printing</t>
  </si>
  <si>
    <t>500070 Statistician Expenses</t>
  </si>
  <si>
    <t>COUNCIL ON FINANCE</t>
  </si>
  <si>
    <t>TOTAL COUNCIL ON FINANCE</t>
  </si>
  <si>
    <t>CONFERENCE SECRETARY</t>
  </si>
  <si>
    <t>500220 Computer Supplies</t>
  </si>
  <si>
    <t>500225 Education / Training</t>
  </si>
  <si>
    <t>500230 Journal</t>
  </si>
  <si>
    <t>500240 Ministerial Records</t>
  </si>
  <si>
    <t>500245 Central Service</t>
  </si>
  <si>
    <t>500248 Special Projects</t>
  </si>
  <si>
    <t>500250 Workbook</t>
  </si>
  <si>
    <t>TOTAL CONFERENCE SECRETARY</t>
  </si>
  <si>
    <t>SALARY ITEMS</t>
  </si>
  <si>
    <t>500310 Administrative Service Director</t>
  </si>
  <si>
    <t>500320 Administrative Services Staff</t>
  </si>
  <si>
    <t>500330 Basic Protection Plan</t>
  </si>
  <si>
    <t>500340 Conference Secretary</t>
  </si>
  <si>
    <t>500350 Continuing Education</t>
  </si>
  <si>
    <t>500360 Insurance Risk Manager</t>
  </si>
  <si>
    <t>500370 FICA</t>
  </si>
  <si>
    <t>500380 Pension - Employer Contributions</t>
  </si>
  <si>
    <t>500390 Salary Contingency</t>
  </si>
  <si>
    <t>500395 Workers Compensation</t>
  </si>
  <si>
    <t>TOTAL SALARY ITEMS</t>
  </si>
  <si>
    <t>500410 Director</t>
  </si>
  <si>
    <t>500420 Insurance Risk Manager</t>
  </si>
  <si>
    <t>500430 Staff</t>
  </si>
  <si>
    <t>NOMINATING COMMITTEE</t>
  </si>
  <si>
    <t>500510 Budgeted</t>
  </si>
  <si>
    <t>TOTAL NOMINATING COMMITTEE</t>
  </si>
  <si>
    <t>UNFUNDED</t>
  </si>
  <si>
    <t>TOTAL UNFUNDED</t>
  </si>
  <si>
    <t>500040 Childrens Conference</t>
  </si>
  <si>
    <t>500050 Committee Meetings</t>
  </si>
  <si>
    <t>500110 Honoraria &amp; Guest Expenses</t>
  </si>
  <si>
    <t>500125 Labor</t>
  </si>
  <si>
    <t>500130 Memorial/Retirement Class Meals</t>
  </si>
  <si>
    <t>500150 Miscellaneous / Discretionary</t>
  </si>
  <si>
    <t>500175 Pages &amp; Youth Members</t>
  </si>
  <si>
    <t>500200 Printing</t>
  </si>
  <si>
    <t>500220 Quadrennial Ballotting Expenses</t>
  </si>
  <si>
    <t>500230 Registration Expense</t>
  </si>
  <si>
    <t>500250 Special Programs</t>
  </si>
  <si>
    <t>500350 Stipend - Equalization</t>
  </si>
  <si>
    <t>500375 Stipend - Ordinands</t>
  </si>
  <si>
    <t>500400 Stipend - Retired</t>
  </si>
  <si>
    <t>500405 Technical Expenses</t>
  </si>
  <si>
    <t>500500 Worship</t>
  </si>
  <si>
    <t>CENTER ITEMS</t>
  </si>
  <si>
    <t>500035 Equipment Purchases &amp; Leases</t>
  </si>
  <si>
    <t>500045 Center Office Furniture Replacement</t>
  </si>
  <si>
    <t>500055 Office Repairs / Maintenance</t>
  </si>
  <si>
    <t>500065 Lease - St. Marks UMC</t>
  </si>
  <si>
    <t>500075 Telephone</t>
  </si>
  <si>
    <t>500085 Other - Flowers &amp; Gifts</t>
  </si>
  <si>
    <t>TOTAL CENTER ITEMS</t>
  </si>
  <si>
    <t>COMPUTER EQUIPMENT</t>
  </si>
  <si>
    <t>500230 Computer Equipment</t>
  </si>
  <si>
    <t>TOTAL COMPUTER EQUIPMENT</t>
  </si>
  <si>
    <t>IT SUPPORT</t>
  </si>
  <si>
    <t>TOTAL IT SUPPORT</t>
  </si>
  <si>
    <t>500240 Materials / Supplies</t>
  </si>
  <si>
    <t>500245 Non-Contract Maintenance</t>
  </si>
  <si>
    <t>500015 Budgeted (DO NOT USE)</t>
  </si>
  <si>
    <t>500009 Budgeted</t>
  </si>
  <si>
    <t>500025 Africa University</t>
  </si>
  <si>
    <t>500035 Black College</t>
  </si>
  <si>
    <t>500045 General Administration</t>
  </si>
  <si>
    <t>500055 Interdenominational Fund</t>
  </si>
  <si>
    <t>500065 Ministerial Education</t>
  </si>
  <si>
    <t>500120 Administrative Assistant</t>
  </si>
  <si>
    <t>500130 Conf Pre-Retirement Sem</t>
  </si>
  <si>
    <t>500135 GBOP Meeting Expense</t>
  </si>
  <si>
    <t>500160 Property Tax (Antero)</t>
  </si>
  <si>
    <t>500165 Miscellaneous</t>
  </si>
  <si>
    <t>500175 Wellness/Pulse Program</t>
  </si>
  <si>
    <t>500225 Administration Fees</t>
  </si>
  <si>
    <t>500235 Consulting Fees</t>
  </si>
  <si>
    <t>500240 4Most Integrated Health Network</t>
  </si>
  <si>
    <t>500256 4-Most Integrated Health Dental</t>
  </si>
  <si>
    <t>500325 Dental Claims</t>
  </si>
  <si>
    <t>500335 Medical</t>
  </si>
  <si>
    <t>500525 Conference Paid Insurance</t>
  </si>
  <si>
    <t>500535 Optional Life Insurance</t>
  </si>
  <si>
    <t>500620 Episcopacy</t>
  </si>
  <si>
    <t>Transf to Conf Oper</t>
  </si>
  <si>
    <t>500210 Adminstration</t>
  </si>
  <si>
    <t>111 DISTRICT SUPERINTENDENTS</t>
  </si>
  <si>
    <t>112 EQUITABLE COMPENSATION</t>
  </si>
  <si>
    <t>115 CLERGY PENSION CONFERENCE RESPONSIBILITY</t>
  </si>
  <si>
    <t>146 BOARD OF MINISTRY</t>
  </si>
  <si>
    <t>180 EPISCOPAL RESIDENCE</t>
  </si>
  <si>
    <t>187 CONFERENCE HEALTH INSURANCE PLAN</t>
  </si>
  <si>
    <t>188 EPISCOPAL FUND - GENERAL CHURCH</t>
  </si>
  <si>
    <t>200 WORLD SERVICE</t>
  </si>
  <si>
    <t>201 WORLD SERVICE CONTINGENCY GEN CHURCH</t>
  </si>
  <si>
    <t>204 NEW FAITH COMM &amp; CONGREGATIONAL VITALITY</t>
  </si>
  <si>
    <t>220 OFFICE OF CONNECTIONAL MINISTRIES</t>
  </si>
  <si>
    <t>221 COMMUNICATIONS</t>
  </si>
  <si>
    <t>222 JUSTICE &amp; ADVOCACY</t>
  </si>
  <si>
    <t>230 BOARD OF HIGHER EDUCATION - CAMPUS MIN</t>
  </si>
  <si>
    <t>233 BOARD OF LAITY</t>
  </si>
  <si>
    <t>235 BOGM ADMINISTRATION</t>
  </si>
  <si>
    <t>236 BOGM PARISH DEVELOPMENT</t>
  </si>
  <si>
    <t>237 BOARD OF GLOBAL MINISTRIES - HEALTH / WELFARE</t>
  </si>
  <si>
    <t>238 BOARD OF GLOBAL MINISTERIES - MISSION</t>
  </si>
  <si>
    <t>239 CHRISTIAN UNITY &amp; INTERRELIGIOUS CONCERNS</t>
  </si>
  <si>
    <t>240 ETHNIC MINISTRIES</t>
  </si>
  <si>
    <t>241 OLDER ADULT MINISTRIES</t>
  </si>
  <si>
    <t>242 YOUTH MINISTRIES</t>
  </si>
  <si>
    <t>243 YOUNG ADULT MINISTRIES</t>
  </si>
  <si>
    <t>245 DIVERSITY / INCLUSION</t>
  </si>
  <si>
    <t>262 ARCHIVES &amp; HISTORY</t>
  </si>
  <si>
    <t>306 JURISDICTIONAL FUND</t>
  </si>
  <si>
    <t>341 GENERAL DELEGATES</t>
  </si>
  <si>
    <t>351 ANNUAL CONFERENCE RESERVE</t>
  </si>
  <si>
    <t>360 CONFERENCE LAY LEADER</t>
  </si>
  <si>
    <t>364 CONFERENCE ADMINISTRATION</t>
  </si>
  <si>
    <t>365 ANNUAL CONFERENCE SESSION</t>
  </si>
  <si>
    <t>366 UM CENTER</t>
  </si>
  <si>
    <t>369 PROPERTY INSURANCE</t>
  </si>
  <si>
    <t>386 SPRING HEIGHTS MAINTENANCE FUND</t>
  </si>
  <si>
    <t>390 AREA FUND</t>
  </si>
  <si>
    <t>398 MINISTERIAL EDUCATION FUND (CONF SH)</t>
  </si>
  <si>
    <t>399 GENERAL CHURCH FUNDS</t>
  </si>
  <si>
    <t>CATEGORY 1</t>
  </si>
  <si>
    <t>111 DISTRICT SUPERINTENDENTS TOTAL EXPENSES</t>
  </si>
  <si>
    <t>112 EQUITABLE COMPENSATION TOTAL EXPENSES</t>
  </si>
  <si>
    <t>115 CLERGY PENSION CONFERENCE RESPONSIBILITY TOTAL EXPENSES</t>
  </si>
  <si>
    <t>146 BOARD OF MINISTRY TOTAL EXPENSES</t>
  </si>
  <si>
    <t>180 EPISCOPAL TOTAL EXPENSES</t>
  </si>
  <si>
    <t>188 EPISCOPAL FUND - GENERAL CHURCH TOTAL EXPENSES</t>
  </si>
  <si>
    <t>CATEGORY 1 TOTAL</t>
  </si>
  <si>
    <t>187 CONFERENCE HEALTH INSURANCE PLAN TOTAL EXPENSES</t>
  </si>
  <si>
    <t>LESS GENERAL CHURCH INCOME</t>
  </si>
  <si>
    <t>CATEGORY 2</t>
  </si>
  <si>
    <t>200 WORLD SERVICE TOTAL EXPENSES</t>
  </si>
  <si>
    <t>201 WORLD SERVICE CONTINGENCY GEN CHURCH TOTAL EXPENSES</t>
  </si>
  <si>
    <t>204 NEW FAITH COMM &amp; CONGREGATIONAL VITALITY TOTAL EXPENSES</t>
  </si>
  <si>
    <t>220 OFFICE OF CONNECTIONAL MINISTRIES TOTAL EXPENSES</t>
  </si>
  <si>
    <t>221 COMMUNICATIONS TOTAL EXPENSES</t>
  </si>
  <si>
    <t>222 JUSTICE &amp; ADVOCACY TOTAL EXPENSES</t>
  </si>
  <si>
    <t>Less Income from Operations</t>
  </si>
  <si>
    <t>230 BOARD OF HIGHER EDUCATION - CAMPUS MIN TOTAL EXPENSES</t>
  </si>
  <si>
    <t>233 BOARD OF LAITY TOTAL EXPENSES</t>
  </si>
  <si>
    <t>236 BOGM PARISH DEVELOPMENT TOTAL EXPENSES</t>
  </si>
  <si>
    <t>237 BOARD OF GLOBAL MINISTRIES - HEALTH / WELFARE TOTAL EXPENSES</t>
  </si>
  <si>
    <t>238 BOARD OF GLOBAL MINISTERIES - MISSION TOTAL EXPENSES</t>
  </si>
  <si>
    <t>239 CHRISTIAN UNITY &amp; INTERRELIGIOUS CONCERNS TOTAL EXPENSES</t>
  </si>
  <si>
    <t>240 ETHNIC MINISTRIES TOTAL EXPENSES</t>
  </si>
  <si>
    <t>241 OLDER ADULT MINISTRIES TOTAL EXPENSES</t>
  </si>
  <si>
    <t>242 YOUTH MINISTRIES TOTAL EXPENSES</t>
  </si>
  <si>
    <t>243 YOUNG ADULT MINISTRIES TOTAL EXPENSES</t>
  </si>
  <si>
    <t>245 DIVERSITY / INCLUSION TOTAL EXPENSES</t>
  </si>
  <si>
    <t>306 JURISDICTIONAL FUND TOTAL EXPENSES</t>
  </si>
  <si>
    <t>351 ANNUAL CONFERENCE RESERVE TOTAL EXPENSES</t>
  </si>
  <si>
    <t>360 CONFERENCE LAY LEADER TOTAL EXPENSES</t>
  </si>
  <si>
    <t>364 CONFERENCE ADMINISTRATION TOTAL EXPENSES</t>
  </si>
  <si>
    <t>366 UM CENTER TOTAL EXPENSES</t>
  </si>
  <si>
    <t>369 PROPERTY INSURANCE TOTAL EXPENSES</t>
  </si>
  <si>
    <t>386 SPRING HEIGHTS MAINTENANCE FUND TOTAL EXPENSES</t>
  </si>
  <si>
    <t>398 MINISTERIAL EDUCATION FUND (CONF SH) TOTAL EXPENSES</t>
  </si>
  <si>
    <t>CATEGORY 3 TOTAL</t>
  </si>
  <si>
    <t>390 AREA FUND TOTAL EXPENSES</t>
  </si>
  <si>
    <t>365 ANNUAL CONFERENCE SESSION TOTAL EXPENSES</t>
  </si>
  <si>
    <t>341 GENERAL DELEGATES TOTAL EXPENSES</t>
  </si>
  <si>
    <t>262 ARCHIVES &amp; HISTORY TOTAL EXPENSES</t>
  </si>
  <si>
    <t>CATEGORY 2 TOTAL</t>
  </si>
  <si>
    <t>CATEGORY 3</t>
  </si>
  <si>
    <t>CONFERENCE GRAND TOTAL</t>
  </si>
  <si>
    <t>% CHANGE</t>
  </si>
  <si>
    <t>ACCT # AND DESCRIPTION</t>
  </si>
  <si>
    <t>$ CHANGE</t>
  </si>
  <si>
    <t>500246 Technology</t>
  </si>
  <si>
    <t>500346 Technology</t>
  </si>
  <si>
    <t>500446 Technology</t>
  </si>
  <si>
    <t>500546 Technology</t>
  </si>
  <si>
    <t>500646 Technology</t>
  </si>
  <si>
    <t>500746 Technology</t>
  </si>
  <si>
    <t>500846 Technology</t>
  </si>
  <si>
    <t>500812 District Lead Team</t>
  </si>
  <si>
    <t>500049 Outside Consultants</t>
  </si>
  <si>
    <t>500050 Resources - Program Materials</t>
  </si>
  <si>
    <t xml:space="preserve">500040 Leadership Training &amp; Development </t>
  </si>
  <si>
    <t>Less Income From Operations</t>
  </si>
  <si>
    <t>500225 Administration</t>
  </si>
  <si>
    <t>TOTAL PARISH DEV ADMINISTRATION</t>
  </si>
  <si>
    <t>235 BOGM ADMINISTRATION TOTAL EXPENSES</t>
  </si>
  <si>
    <t>Less Pension Funding</t>
  </si>
  <si>
    <t>399 GENERAL CHURCH FUNDS TOTAL EXPENSES</t>
  </si>
  <si>
    <t>500233 Tech Support</t>
  </si>
  <si>
    <t>500155 Legal Fees</t>
  </si>
  <si>
    <t>500100 New Ministries</t>
  </si>
  <si>
    <t>500030 Coaching</t>
  </si>
  <si>
    <t>500010 Salary Support New Church Start</t>
  </si>
  <si>
    <t>TOTAL MONVALLEY DISTRICT</t>
  </si>
  <si>
    <t>MONVALLEY DISTRICT</t>
  </si>
  <si>
    <t>234 SPRING HEIGHTS CAMP &amp; RETREAT CENTER</t>
  </si>
  <si>
    <t>234 SPRING HEIGHTS CAMP &amp; RETREAT CENTER TOTAL EXPENSES</t>
  </si>
  <si>
    <t>SALARY SUPPORT</t>
  </si>
  <si>
    <t>TOTAL SALARY SUPPORT  ITEMS</t>
  </si>
  <si>
    <t>500051 MissionInsite</t>
  </si>
  <si>
    <t>500175 Workshops &amp; Webinars</t>
  </si>
  <si>
    <t>500040 WVWC Spiritual Life Director Housing</t>
  </si>
  <si>
    <t>500531 Benefits</t>
  </si>
  <si>
    <t>500248 Transfer for Vehicle</t>
  </si>
  <si>
    <t>500350 Transfer for Vehicle</t>
  </si>
  <si>
    <t>500448 Transfer for Vehicle</t>
  </si>
  <si>
    <t>500550 Transfer for Vehicle</t>
  </si>
  <si>
    <t>500650 Transfer for Vehicle</t>
  </si>
  <si>
    <t>500850 Transfer for Vehicle</t>
  </si>
  <si>
    <t>500750 Transfer for Vehicle</t>
  </si>
  <si>
    <t>500885 Transfer to Vehicle - Willard</t>
  </si>
  <si>
    <t>500243 Software Maintenance Contracts</t>
  </si>
  <si>
    <t>ADMINISTRATIVE ASSISTANT SALARIES</t>
  </si>
  <si>
    <t>500041 WV Spriritual Life Salary Support</t>
  </si>
  <si>
    <t>500045 Admin Assistant Spiritual &amp; Rel Life</t>
  </si>
  <si>
    <t>50003_ Continuing Education</t>
  </si>
  <si>
    <t>500___ DaySpring Program Supplies</t>
  </si>
  <si>
    <t>500___ DaySpring Staff</t>
  </si>
  <si>
    <t>500015 Salary Contingency</t>
  </si>
  <si>
    <t>500120 CFA Administration Costs</t>
  </si>
  <si>
    <t>LESS CHARGE RESPONSIBILITY INCOME (EMPLOYER PREMIUM)</t>
  </si>
  <si>
    <t>LESS MEDICARE PARTICIPANT PREMIUM INCOME</t>
  </si>
  <si>
    <t>LESS HEALTHFLEX PARTICIPANT PREMIUM INCOME</t>
  </si>
  <si>
    <t xml:space="preserve">50012_ Billing Software </t>
  </si>
  <si>
    <t>501250 FICA - District Admins</t>
  </si>
  <si>
    <t>500080 Internships</t>
  </si>
  <si>
    <t>147 MINISTERIAL ETHICS</t>
  </si>
  <si>
    <t>500518 Safe Sanctuaries Training</t>
  </si>
  <si>
    <t>147 MINISTERIAL ETHICS TOTAL EXPENSES</t>
  </si>
  <si>
    <t>5002__ Portico</t>
  </si>
  <si>
    <t>BOGM GRAND TOTAL</t>
  </si>
  <si>
    <t>500303 Beckley Center Project (BUMFS)</t>
  </si>
  <si>
    <t>5001__ Stategic Appointment Assistance</t>
  </si>
  <si>
    <t>Less Portico Income</t>
  </si>
  <si>
    <t>5001__ Special Projects</t>
  </si>
  <si>
    <t>500517 Ministerial Ethics Training</t>
  </si>
  <si>
    <t>500035 Discipleship &amp; Evangelism</t>
  </si>
  <si>
    <t xml:space="preserve">5000__ Health Insurance Premium Contingency </t>
  </si>
  <si>
    <t>501318 Cabinet Secretary Expenses</t>
  </si>
  <si>
    <t>500516 Background Screening</t>
  </si>
  <si>
    <t xml:space="preserve">150 AFFILIATED COLLEGE SUPPORT  </t>
  </si>
  <si>
    <t>150 AFFILIATED COLLEGE SUPPORT TOTAL EXPENSES</t>
  </si>
  <si>
    <t>LESS DISTRIBUTION FROM UNDESIGNATED FUND</t>
  </si>
  <si>
    <t>500235 Database Services</t>
  </si>
  <si>
    <t>% of Category</t>
  </si>
  <si>
    <t>% of Total</t>
  </si>
  <si>
    <t>Percent Change</t>
  </si>
  <si>
    <t>Change Amount</t>
  </si>
  <si>
    <t>Ministerial Support</t>
  </si>
  <si>
    <t>District Superintendents Expenses</t>
  </si>
  <si>
    <t>Equitable Compensation</t>
  </si>
  <si>
    <t>Pensions Conference Responsibility</t>
  </si>
  <si>
    <t>Board of Ordained Ministry</t>
  </si>
  <si>
    <t>Episcopal Residence</t>
  </si>
  <si>
    <t>Medical Insurance</t>
  </si>
  <si>
    <t>Episcopal Fund - General Church</t>
  </si>
  <si>
    <t>Total Category I</t>
  </si>
  <si>
    <t>World Service and Conference Benevolences</t>
  </si>
  <si>
    <t>World Service - General Church</t>
  </si>
  <si>
    <t>World Service - General Church - Contingency</t>
  </si>
  <si>
    <t xml:space="preserve">Congregational Vitality </t>
  </si>
  <si>
    <t>Office of Connectional Ministries</t>
  </si>
  <si>
    <t>Communications</t>
  </si>
  <si>
    <t>Justice and Advocacy</t>
  </si>
  <si>
    <t>Affiliated College Support</t>
  </si>
  <si>
    <t>Board of Higher Education</t>
  </si>
  <si>
    <t>Lay Ministry Team</t>
  </si>
  <si>
    <t>Spring Heights Camp &amp; Retreat Center</t>
  </si>
  <si>
    <t>Board of Global Ministries</t>
  </si>
  <si>
    <t>Christian Unity and Interreligious Concerns</t>
  </si>
  <si>
    <t>Ethnic Ministries</t>
  </si>
  <si>
    <t>Older Adult Ministries</t>
  </si>
  <si>
    <t>Youth Ministries</t>
  </si>
  <si>
    <t>Young Adult Ministries</t>
  </si>
  <si>
    <t>Diversity and Inclusion</t>
  </si>
  <si>
    <t>Archives and History</t>
  </si>
  <si>
    <t>Grand Total Category II</t>
  </si>
  <si>
    <t>General And Administrative</t>
  </si>
  <si>
    <t>Jurisdictional Fund</t>
  </si>
  <si>
    <t>General Delegates</t>
  </si>
  <si>
    <t>Annual Conference Reserve</t>
  </si>
  <si>
    <t>Conference Lay Leader</t>
  </si>
  <si>
    <t>Conference Administration</t>
  </si>
  <si>
    <t>Annual Conference Session</t>
  </si>
  <si>
    <t>United Methodist Center</t>
  </si>
  <si>
    <t>Conference Property and Casualty Insurance</t>
  </si>
  <si>
    <t>Spring Heights Maintenance Fund</t>
  </si>
  <si>
    <t>Area Fund</t>
  </si>
  <si>
    <t>Ministerial Education Fund Conf. Share</t>
  </si>
  <si>
    <t>General Church Apportionments</t>
  </si>
  <si>
    <t>Total Category III</t>
  </si>
  <si>
    <t>Total Opportunities for Ministry</t>
  </si>
  <si>
    <t>2024 Requested BUDGET</t>
  </si>
  <si>
    <t>2023 BUDGET</t>
  </si>
  <si>
    <t>500355 Employment Screenings</t>
  </si>
  <si>
    <t>500075 Equipment Rental</t>
  </si>
  <si>
    <t>501220 Conference Property Person</t>
  </si>
  <si>
    <t>500425 HealthFlex Premiums</t>
  </si>
  <si>
    <t>Claims Paid (Since 2023 Medicare Only)</t>
  </si>
  <si>
    <t>CLERGY SUPPORT</t>
  </si>
  <si>
    <t>500785 Administration</t>
  </si>
  <si>
    <t>500796 Counseling Funds</t>
  </si>
  <si>
    <t>500797 Ministry &amp; Family Life Today</t>
  </si>
  <si>
    <t>5000__ Professional Services</t>
  </si>
  <si>
    <t>5000__ Housing</t>
  </si>
  <si>
    <t>500225 Food and Hospitality</t>
  </si>
  <si>
    <t>5000__ Contingency</t>
  </si>
  <si>
    <t>500___ Conference Employees HealthFlex Premiums</t>
  </si>
  <si>
    <t>TOTAL CONTINGENCY / ALLOWANCE FOR UNCOLLECTABLE APPORTIONMENTS</t>
  </si>
  <si>
    <t>BUDGET WITHOUT CONTINGENCY</t>
  </si>
  <si>
    <t>Opportunities for Ministry 2024-2023</t>
  </si>
  <si>
    <t>Total Contingency / Allowance for Uncollectable Apportionments</t>
  </si>
  <si>
    <t xml:space="preserve">Budget Without Contingency </t>
  </si>
  <si>
    <t>NINE RIVERS DISTRICT</t>
  </si>
  <si>
    <t>GREENBRIER-WESLEYAN DISTRICT</t>
  </si>
  <si>
    <t>CLERGY SUPPORT TOTAL EXPENSES</t>
  </si>
  <si>
    <t>500___ Contingency</t>
  </si>
  <si>
    <t>This total represents the amount added to the budget to help insure areas requiring 100% payout of the budget amount are sufficiently funded such as property and liability insurance premiums, health insurance premiums, and salaries.</t>
  </si>
  <si>
    <t>Opportunities for Ministry 2024-2023 Detailed Projections</t>
  </si>
  <si>
    <t>Ministerial Ethics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</si>
</sst>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wrapText="1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4">
    <xf numFmtId="0" fontId="0" fillId="0" borderId="0" xfId="0" applyAlignment="1">
      <alignment wrapText="1" readingOrder="1"/>
    </xf>
    <xf numFmtId="44" fontId="6" fillId="0" borderId="0" xfId="1" applyFont="1" applyFill="1" applyBorder="1" applyAlignment="1">
      <alignment horizontal="center" vertical="top" readingOrder="1"/>
    </xf>
    <xf numFmtId="44" fontId="1" fillId="0" borderId="1" xfId="1" applyFont="1" applyFill="1" applyBorder="1" applyAlignment="1">
      <alignment vertical="top" readingOrder="1"/>
    </xf>
    <xf numFmtId="44" fontId="3" fillId="0" borderId="5" xfId="1" applyFont="1" applyFill="1" applyBorder="1" applyAlignment="1">
      <alignment vertical="top" readingOrder="1"/>
    </xf>
    <xf numFmtId="10" fontId="1" fillId="0" borderId="2" xfId="2" applyNumberFormat="1" applyFont="1" applyFill="1" applyBorder="1" applyAlignment="1">
      <alignment horizontal="center" wrapText="1" readingOrder="1"/>
    </xf>
    <xf numFmtId="10" fontId="2" fillId="0" borderId="0" xfId="2" applyNumberFormat="1" applyFont="1" applyFill="1" applyBorder="1" applyAlignment="1">
      <alignment horizontal="right" vertical="top" readingOrder="1"/>
    </xf>
    <xf numFmtId="10" fontId="3" fillId="0" borderId="2" xfId="2" applyNumberFormat="1" applyFont="1" applyFill="1" applyBorder="1" applyAlignment="1">
      <alignment horizontal="right" vertical="top" readingOrder="1"/>
    </xf>
    <xf numFmtId="10" fontId="3" fillId="0" borderId="0" xfId="2" applyNumberFormat="1" applyFont="1" applyFill="1" applyBorder="1" applyAlignment="1">
      <alignment horizontal="right" vertical="top" readingOrder="1"/>
    </xf>
    <xf numFmtId="10" fontId="1" fillId="0" borderId="1" xfId="2" applyNumberFormat="1" applyFont="1" applyFill="1" applyBorder="1" applyAlignment="1">
      <alignment horizontal="right" vertical="top" readingOrder="1"/>
    </xf>
    <xf numFmtId="10" fontId="1" fillId="0" borderId="0" xfId="2" applyNumberFormat="1" applyFont="1" applyFill="1" applyBorder="1" applyAlignment="1">
      <alignment horizontal="right" vertical="top" readingOrder="1"/>
    </xf>
    <xf numFmtId="10" fontId="1" fillId="0" borderId="3" xfId="2" applyNumberFormat="1" applyFont="1" applyFill="1" applyBorder="1" applyAlignment="1">
      <alignment horizontal="right" vertical="top" readingOrder="1"/>
    </xf>
    <xf numFmtId="10" fontId="1" fillId="0" borderId="4" xfId="2" applyNumberFormat="1" applyFont="1" applyFill="1" applyBorder="1" applyAlignment="1">
      <alignment horizontal="right" vertical="top" readingOrder="1"/>
    </xf>
    <xf numFmtId="10" fontId="3" fillId="0" borderId="4" xfId="2" applyNumberFormat="1" applyFont="1" applyFill="1" applyBorder="1" applyAlignment="1">
      <alignment horizontal="right" vertical="top" readingOrder="1"/>
    </xf>
    <xf numFmtId="10" fontId="1" fillId="0" borderId="2" xfId="2" applyNumberFormat="1" applyFont="1" applyFill="1" applyBorder="1" applyAlignment="1">
      <alignment horizontal="right" vertical="top" readingOrder="1"/>
    </xf>
    <xf numFmtId="10" fontId="7" fillId="0" borderId="3" xfId="2" applyNumberFormat="1" applyFont="1" applyFill="1" applyBorder="1" applyAlignment="1">
      <alignment horizontal="right" vertical="top" readingOrder="1"/>
    </xf>
    <xf numFmtId="10" fontId="2" fillId="0" borderId="0" xfId="2" applyNumberFormat="1" applyFont="1" applyFill="1" applyBorder="1" applyAlignment="1">
      <alignment horizontal="right" readingOrder="1"/>
    </xf>
    <xf numFmtId="10" fontId="2" fillId="0" borderId="2" xfId="2" applyNumberFormat="1" applyFont="1" applyFill="1" applyBorder="1" applyAlignment="1">
      <alignment horizontal="right" readingOrder="1"/>
    </xf>
    <xf numFmtId="10" fontId="1" fillId="0" borderId="2" xfId="2" applyNumberFormat="1" applyFont="1" applyFill="1" applyBorder="1" applyAlignment="1">
      <alignment horizontal="right" readingOrder="1"/>
    </xf>
    <xf numFmtId="10" fontId="2" fillId="0" borderId="4" xfId="2" applyNumberFormat="1" applyFont="1" applyFill="1" applyBorder="1" applyAlignment="1">
      <alignment horizontal="right" readingOrder="1"/>
    </xf>
    <xf numFmtId="0" fontId="9" fillId="0" borderId="0" xfId="0" applyFont="1" applyAlignment="1"/>
    <xf numFmtId="0" fontId="8" fillId="0" borderId="0" xfId="0" applyFont="1" applyAlignment="1">
      <alignment horizontal="centerContinuous"/>
    </xf>
    <xf numFmtId="6" fontId="8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" wrapText="1"/>
    </xf>
    <xf numFmtId="6" fontId="10" fillId="0" borderId="6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5" fontId="10" fillId="0" borderId="0" xfId="0" applyNumberFormat="1" applyFont="1" applyAlignment="1"/>
    <xf numFmtId="0" fontId="10" fillId="0" borderId="0" xfId="0" applyFont="1" applyAlignment="1"/>
    <xf numFmtId="6" fontId="9" fillId="0" borderId="0" xfId="0" applyNumberFormat="1" applyFont="1" applyAlignment="1"/>
    <xf numFmtId="0" fontId="9" fillId="0" borderId="0" xfId="0" applyFont="1" applyAlignment="1">
      <alignment horizontal="left"/>
    </xf>
    <xf numFmtId="10" fontId="9" fillId="0" borderId="0" xfId="0" applyNumberFormat="1" applyFont="1" applyAlignment="1"/>
    <xf numFmtId="6" fontId="10" fillId="0" borderId="6" xfId="0" applyNumberFormat="1" applyFont="1" applyBorder="1" applyAlignment="1"/>
    <xf numFmtId="10" fontId="10" fillId="0" borderId="6" xfId="0" applyNumberFormat="1" applyFont="1" applyBorder="1" applyAlignment="1"/>
    <xf numFmtId="6" fontId="9" fillId="0" borderId="0" xfId="0" applyNumberFormat="1" applyFont="1" applyAlignment="1">
      <alignment horizontal="right"/>
    </xf>
    <xf numFmtId="6" fontId="10" fillId="0" borderId="0" xfId="0" applyNumberFormat="1" applyFont="1" applyAlignment="1"/>
    <xf numFmtId="10" fontId="10" fillId="0" borderId="0" xfId="0" applyNumberFormat="1" applyFont="1" applyAlignment="1"/>
    <xf numFmtId="0" fontId="12" fillId="0" borderId="0" xfId="0" applyFont="1" applyAlignment="1"/>
    <xf numFmtId="6" fontId="12" fillId="0" borderId="7" xfId="0" applyNumberFormat="1" applyFont="1" applyBorder="1" applyAlignment="1"/>
    <xf numFmtId="10" fontId="10" fillId="0" borderId="7" xfId="0" applyNumberFormat="1" applyFont="1" applyBorder="1" applyAlignment="1"/>
    <xf numFmtId="10" fontId="10" fillId="0" borderId="0" xfId="2" applyNumberFormat="1" applyFont="1" applyFill="1" applyBorder="1"/>
    <xf numFmtId="164" fontId="9" fillId="0" borderId="0" xfId="0" applyNumberFormat="1" applyFont="1" applyAlignment="1"/>
    <xf numFmtId="164" fontId="10" fillId="0" borderId="6" xfId="0" applyNumberFormat="1" applyFont="1" applyBorder="1" applyAlignment="1"/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/>
    <xf numFmtId="164" fontId="12" fillId="0" borderId="7" xfId="0" applyNumberFormat="1" applyFont="1" applyBorder="1" applyAlignment="1"/>
    <xf numFmtId="44" fontId="3" fillId="0" borderId="0" xfId="1" applyFont="1" applyFill="1" applyBorder="1" applyAlignment="1">
      <alignment vertical="top" readingOrder="1"/>
    </xf>
    <xf numFmtId="0" fontId="12" fillId="0" borderId="0" xfId="0" applyFont="1">
      <alignment wrapText="1"/>
    </xf>
    <xf numFmtId="164" fontId="12" fillId="0" borderId="6" xfId="0" applyNumberFormat="1" applyFont="1" applyBorder="1" applyAlignment="1"/>
    <xf numFmtId="164" fontId="10" fillId="0" borderId="7" xfId="0" applyNumberFormat="1" applyFont="1" applyBorder="1" applyAlignment="1"/>
    <xf numFmtId="0" fontId="1" fillId="0" borderId="2" xfId="0" applyFont="1" applyBorder="1" applyAlignment="1">
      <alignment horizontal="center" readingOrder="1"/>
    </xf>
    <xf numFmtId="0" fontId="2" fillId="0" borderId="0" xfId="0" applyFont="1" applyAlignment="1">
      <alignment readingOrder="1"/>
    </xf>
    <xf numFmtId="0" fontId="4" fillId="0" borderId="2" xfId="0" applyFont="1" applyBorder="1" applyAlignment="1">
      <alignment horizontal="center" vertical="top" readingOrder="1"/>
    </xf>
    <xf numFmtId="0" fontId="4" fillId="0" borderId="0" xfId="0" applyFont="1" applyAlignment="1">
      <alignment horizontal="center" vertical="top" readingOrder="1"/>
    </xf>
    <xf numFmtId="0" fontId="1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2" xfId="0" applyFont="1" applyBorder="1" applyAlignment="1">
      <alignment horizontal="left" vertical="top" readingOrder="1"/>
    </xf>
    <xf numFmtId="0" fontId="3" fillId="0" borderId="0" xfId="0" applyFont="1" applyAlignment="1">
      <alignment horizontal="center" vertical="top" readingOrder="1"/>
    </xf>
    <xf numFmtId="0" fontId="3" fillId="0" borderId="2" xfId="0" applyFont="1" applyBorder="1" applyAlignment="1">
      <alignment horizontal="center" vertical="top" readingOrder="1"/>
    </xf>
    <xf numFmtId="0" fontId="1" fillId="0" borderId="2" xfId="0" applyFont="1" applyBorder="1" applyAlignment="1">
      <alignment horizontal="left" vertical="top" readingOrder="1"/>
    </xf>
    <xf numFmtId="0" fontId="3" fillId="0" borderId="4" xfId="0" applyFont="1" applyBorder="1" applyAlignment="1">
      <alignment horizontal="center" vertical="top" readingOrder="1"/>
    </xf>
    <xf numFmtId="0" fontId="7" fillId="0" borderId="4" xfId="0" applyFont="1" applyBorder="1" applyAlignment="1">
      <alignment horizontal="left" vertical="top" readingOrder="1"/>
    </xf>
    <xf numFmtId="0" fontId="6" fillId="0" borderId="0" xfId="0" applyFont="1" applyAlignment="1">
      <alignment readingOrder="1"/>
    </xf>
    <xf numFmtId="0" fontId="7" fillId="0" borderId="2" xfId="0" applyFont="1" applyBorder="1" applyAlignment="1">
      <alignment horizontal="left" vertical="top" readingOrder="1"/>
    </xf>
    <xf numFmtId="0" fontId="4" fillId="0" borderId="4" xfId="0" applyFont="1" applyBorder="1" applyAlignment="1">
      <alignment horizontal="center" vertical="top" readingOrder="1"/>
    </xf>
    <xf numFmtId="0" fontId="6" fillId="0" borderId="2" xfId="0" applyFont="1" applyBorder="1" applyAlignment="1">
      <alignment horizontal="left" vertical="top" readingOrder="1"/>
    </xf>
    <xf numFmtId="0" fontId="1" fillId="0" borderId="2" xfId="0" applyFont="1" applyBorder="1" applyAlignment="1">
      <alignment horizontal="center" vertical="top" readingOrder="1"/>
    </xf>
    <xf numFmtId="0" fontId="1" fillId="0" borderId="4" xfId="0" applyFont="1" applyBorder="1" applyAlignment="1">
      <alignment horizontal="center" vertical="top" readingOrder="1"/>
    </xf>
    <xf numFmtId="0" fontId="2" fillId="0" borderId="2" xfId="0" applyFont="1" applyBorder="1" applyAlignment="1">
      <alignment readingOrder="1"/>
    </xf>
    <xf numFmtId="0" fontId="1" fillId="0" borderId="0" xfId="0" applyFont="1" applyAlignment="1">
      <alignment readingOrder="1"/>
    </xf>
    <xf numFmtId="0" fontId="2" fillId="0" borderId="4" xfId="0" applyFont="1" applyBorder="1" applyAlignment="1">
      <alignment horizontal="center" readingOrder="1"/>
    </xf>
    <xf numFmtId="0" fontId="2" fillId="0" borderId="4" xfId="0" applyFont="1" applyBorder="1" applyAlignment="1">
      <alignment readingOrder="1"/>
    </xf>
    <xf numFmtId="0" fontId="7" fillId="0" borderId="0" xfId="0" applyFont="1" applyAlignment="1">
      <alignment horizontal="left" vertical="top" readingOrder="1"/>
    </xf>
    <xf numFmtId="5" fontId="13" fillId="0" borderId="0" xfId="0" applyNumberFormat="1" applyFont="1" applyAlignment="1"/>
    <xf numFmtId="5" fontId="14" fillId="0" borderId="6" xfId="0" applyNumberFormat="1" applyFont="1" applyBorder="1" applyAlignment="1"/>
    <xf numFmtId="5" fontId="14" fillId="0" borderId="0" xfId="0" applyNumberFormat="1" applyFont="1" applyAlignment="1"/>
    <xf numFmtId="5" fontId="14" fillId="0" borderId="7" xfId="0" applyNumberFormat="1" applyFont="1" applyBorder="1" applyAlignment="1"/>
    <xf numFmtId="164" fontId="1" fillId="0" borderId="2" xfId="1" applyNumberFormat="1" applyFont="1" applyFill="1" applyBorder="1" applyAlignment="1">
      <alignment horizontal="center" wrapText="1" readingOrder="1"/>
    </xf>
    <xf numFmtId="164" fontId="3" fillId="0" borderId="2" xfId="1" applyNumberFormat="1" applyFont="1" applyFill="1" applyBorder="1" applyAlignment="1">
      <alignment horizontal="center" vertical="top" readingOrder="1"/>
    </xf>
    <xf numFmtId="164" fontId="3" fillId="0" borderId="5" xfId="1" applyNumberFormat="1" applyFont="1" applyFill="1" applyBorder="1" applyAlignment="1">
      <alignment vertical="top" readingOrder="1"/>
    </xf>
    <xf numFmtId="164" fontId="3" fillId="0" borderId="0" xfId="1" applyNumberFormat="1" applyFont="1" applyFill="1" applyBorder="1" applyAlignment="1">
      <alignment horizontal="center" vertical="top" readingOrder="1"/>
    </xf>
    <xf numFmtId="164" fontId="2" fillId="0" borderId="0" xfId="1" applyNumberFormat="1" applyFont="1" applyFill="1" applyBorder="1" applyAlignment="1">
      <alignment horizontal="right" vertical="top" readingOrder="1"/>
    </xf>
    <xf numFmtId="164" fontId="1" fillId="0" borderId="1" xfId="1" applyNumberFormat="1" applyFont="1" applyFill="1" applyBorder="1" applyAlignment="1">
      <alignment vertical="top" readingOrder="1"/>
    </xf>
    <xf numFmtId="164" fontId="1" fillId="0" borderId="0" xfId="1" applyNumberFormat="1" applyFont="1" applyFill="1" applyBorder="1" applyAlignment="1">
      <alignment vertical="top" readingOrder="1"/>
    </xf>
    <xf numFmtId="164" fontId="1" fillId="0" borderId="3" xfId="1" applyNumberFormat="1" applyFont="1" applyFill="1" applyBorder="1" applyAlignment="1">
      <alignment vertical="top" readingOrder="1"/>
    </xf>
    <xf numFmtId="164" fontId="1" fillId="0" borderId="4" xfId="1" applyNumberFormat="1" applyFont="1" applyFill="1" applyBorder="1" applyAlignment="1">
      <alignment vertical="top" readingOrder="1"/>
    </xf>
    <xf numFmtId="164" fontId="1" fillId="0" borderId="2" xfId="1" applyNumberFormat="1" applyFont="1" applyFill="1" applyBorder="1" applyAlignment="1">
      <alignment vertical="top" readingOrder="1"/>
    </xf>
    <xf numFmtId="164" fontId="3" fillId="0" borderId="0" xfId="1" applyNumberFormat="1" applyFont="1" applyFill="1" applyBorder="1" applyAlignment="1">
      <alignment vertical="top" readingOrder="1"/>
    </xf>
    <xf numFmtId="164" fontId="2" fillId="0" borderId="0" xfId="1" applyNumberFormat="1" applyFont="1" applyFill="1" applyBorder="1" applyAlignment="1">
      <alignment vertical="top" readingOrder="1"/>
    </xf>
    <xf numFmtId="164" fontId="3" fillId="0" borderId="4" xfId="1" applyNumberFormat="1" applyFont="1" applyFill="1" applyBorder="1" applyAlignment="1">
      <alignment horizontal="center" vertical="top" readingOrder="1"/>
    </xf>
    <xf numFmtId="164" fontId="7" fillId="0" borderId="1" xfId="1" applyNumberFormat="1" applyFont="1" applyFill="1" applyBorder="1" applyAlignment="1">
      <alignment vertical="top" readingOrder="1"/>
    </xf>
    <xf numFmtId="164" fontId="7" fillId="0" borderId="0" xfId="1" applyNumberFormat="1" applyFont="1" applyFill="1" applyBorder="1" applyAlignment="1">
      <alignment vertical="top" readingOrder="1"/>
    </xf>
    <xf numFmtId="164" fontId="3" fillId="0" borderId="2" xfId="1" applyNumberFormat="1" applyFont="1" applyFill="1" applyBorder="1" applyAlignment="1">
      <alignment horizontal="left" vertical="top" readingOrder="1"/>
    </xf>
    <xf numFmtId="164" fontId="3" fillId="0" borderId="0" xfId="1" applyNumberFormat="1" applyFont="1" applyFill="1" applyBorder="1" applyAlignment="1">
      <alignment horizontal="left" vertical="top" readingOrder="1"/>
    </xf>
    <xf numFmtId="164" fontId="6" fillId="0" borderId="0" xfId="1" applyNumberFormat="1" applyFont="1" applyFill="1" applyBorder="1" applyAlignment="1">
      <alignment horizontal="center" vertical="top" readingOrder="1"/>
    </xf>
    <xf numFmtId="164" fontId="7" fillId="0" borderId="3" xfId="1" applyNumberFormat="1" applyFont="1" applyFill="1" applyBorder="1" applyAlignment="1">
      <alignment vertical="top" readingOrder="1"/>
    </xf>
    <xf numFmtId="164" fontId="7" fillId="0" borderId="2" xfId="1" applyNumberFormat="1" applyFont="1" applyFill="1" applyBorder="1" applyAlignment="1">
      <alignment vertical="top" readingOrder="1"/>
    </xf>
    <xf numFmtId="164" fontId="2" fillId="0" borderId="2" xfId="1" applyNumberFormat="1" applyFont="1" applyFill="1" applyBorder="1" applyAlignment="1">
      <alignment readingOrder="1"/>
    </xf>
    <xf numFmtId="164" fontId="1" fillId="0" borderId="2" xfId="1" applyNumberFormat="1" applyFont="1" applyFill="1" applyBorder="1" applyAlignment="1">
      <alignment readingOrder="1"/>
    </xf>
    <xf numFmtId="164" fontId="2" fillId="0" borderId="4" xfId="1" applyNumberFormat="1" applyFont="1" applyFill="1" applyBorder="1" applyAlignment="1">
      <alignment readingOrder="1"/>
    </xf>
    <xf numFmtId="164" fontId="2" fillId="0" borderId="0" xfId="1" applyNumberFormat="1" applyFont="1" applyFill="1" applyBorder="1" applyAlignment="1">
      <alignment readingOrder="1"/>
    </xf>
    <xf numFmtId="164" fontId="2" fillId="0" borderId="0" xfId="0" applyNumberFormat="1" applyFont="1" applyAlignment="1">
      <alignment readingOrder="1"/>
    </xf>
    <xf numFmtId="0" fontId="8" fillId="0" borderId="0" xfId="0" applyFont="1" applyAlignment="1">
      <alignment horizontal="center"/>
    </xf>
    <xf numFmtId="5" fontId="3" fillId="0" borderId="0" xfId="0" applyNumberFormat="1" applyFont="1" applyAlignment="1">
      <alignment horizontal="left" vertical="center" wrapText="1"/>
    </xf>
    <xf numFmtId="5" fontId="4" fillId="0" borderId="0" xfId="0" applyNumberFormat="1" applyFont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341B2-C0BE-46AA-9178-F9F21F7FC99A}">
  <sheetPr>
    <pageSetUpPr fitToPage="1"/>
  </sheetPr>
  <dimension ref="A1:J57"/>
  <sheetViews>
    <sheetView tabSelected="1" workbookViewId="0">
      <selection activeCell="M41" sqref="M41"/>
    </sheetView>
  </sheetViews>
  <sheetFormatPr defaultColWidth="9.140625" defaultRowHeight="15.75" x14ac:dyDescent="0.25"/>
  <cols>
    <col min="1" max="1" width="52.140625" style="19" customWidth="1"/>
    <col min="2" max="2" width="16.5703125" style="27" bestFit="1" customWidth="1"/>
    <col min="3" max="3" width="16.28515625" style="27" bestFit="1" customWidth="1"/>
    <col min="4" max="4" width="11.7109375" style="27" bestFit="1" customWidth="1"/>
    <col min="5" max="5" width="10.5703125" style="27" bestFit="1" customWidth="1"/>
    <col min="6" max="6" width="11" style="19" bestFit="1" customWidth="1"/>
    <col min="7" max="7" width="12.85546875" style="28" bestFit="1" customWidth="1"/>
    <col min="8" max="8" width="9.140625" style="19"/>
    <col min="9" max="9" width="10.28515625" style="19" bestFit="1" customWidth="1"/>
    <col min="10" max="10" width="11.5703125" style="19" bestFit="1" customWidth="1"/>
    <col min="11" max="11" width="10.28515625" style="19" bestFit="1" customWidth="1"/>
    <col min="12" max="16384" width="9.140625" style="19"/>
  </cols>
  <sheetData>
    <row r="1" spans="1:7" ht="20.25" x14ac:dyDescent="0.3">
      <c r="A1" s="101" t="s">
        <v>703</v>
      </c>
      <c r="B1" s="101"/>
      <c r="C1" s="101"/>
      <c r="D1" s="101"/>
      <c r="E1" s="101"/>
      <c r="F1" s="101"/>
      <c r="G1" s="101"/>
    </row>
    <row r="2" spans="1:7" ht="20.25" x14ac:dyDescent="0.3">
      <c r="A2" s="20"/>
      <c r="B2" s="20"/>
      <c r="C2" s="20"/>
      <c r="D2" s="20"/>
      <c r="E2" s="20"/>
      <c r="F2" s="20"/>
      <c r="G2" s="21"/>
    </row>
    <row r="3" spans="1:7" s="22" customFormat="1" ht="31.5" x14ac:dyDescent="0.25">
      <c r="B3" s="23">
        <v>2024</v>
      </c>
      <c r="C3" s="23">
        <v>2023</v>
      </c>
      <c r="D3" s="23" t="s">
        <v>637</v>
      </c>
      <c r="E3" s="23" t="s">
        <v>638</v>
      </c>
      <c r="F3" s="23" t="s">
        <v>639</v>
      </c>
      <c r="G3" s="24" t="s">
        <v>640</v>
      </c>
    </row>
    <row r="4" spans="1:7" ht="18.75" x14ac:dyDescent="0.3">
      <c r="A4" s="25" t="s">
        <v>641</v>
      </c>
      <c r="B4" s="26"/>
      <c r="C4" s="26"/>
      <c r="G4" s="72"/>
    </row>
    <row r="5" spans="1:7" ht="15" x14ac:dyDescent="0.2">
      <c r="A5" s="29" t="s">
        <v>642</v>
      </c>
      <c r="B5" s="40">
        <f>'Detailed Budget'!B127</f>
        <v>1470934</v>
      </c>
      <c r="C5" s="40">
        <f>'Detailed Budget'!C127</f>
        <v>1419264</v>
      </c>
      <c r="D5" s="30">
        <f t="shared" ref="D5:D13" si="0">+B5/$B$14</f>
        <v>0.23841020746184496</v>
      </c>
      <c r="E5" s="30">
        <f t="shared" ref="E5:E13" si="1">+B5/$B$51</f>
        <v>0.12975297840993513</v>
      </c>
      <c r="F5" s="30">
        <f t="shared" ref="F5:F13" si="2">+G5/C5</f>
        <v>3.6406193632756136E-2</v>
      </c>
      <c r="G5" s="72">
        <f t="shared" ref="G5:G13" si="3">+B5-C5</f>
        <v>51670</v>
      </c>
    </row>
    <row r="6" spans="1:7" ht="15" x14ac:dyDescent="0.2">
      <c r="A6" s="29" t="s">
        <v>643</v>
      </c>
      <c r="B6" s="40">
        <f>'Detailed Budget'!B140</f>
        <v>96000</v>
      </c>
      <c r="C6" s="40">
        <f>'Detailed Budget'!C140</f>
        <v>96000</v>
      </c>
      <c r="D6" s="30">
        <f t="shared" si="0"/>
        <v>1.5559759932353943E-2</v>
      </c>
      <c r="E6" s="30">
        <f t="shared" si="1"/>
        <v>8.4682833678151239E-3</v>
      </c>
      <c r="F6" s="30">
        <f t="shared" si="2"/>
        <v>0</v>
      </c>
      <c r="G6" s="72">
        <f t="shared" si="3"/>
        <v>0</v>
      </c>
    </row>
    <row r="7" spans="1:7" ht="15" x14ac:dyDescent="0.2">
      <c r="A7" s="29" t="s">
        <v>644</v>
      </c>
      <c r="B7" s="40">
        <f>'Detailed Budget'!B147</f>
        <v>250000</v>
      </c>
      <c r="C7" s="40">
        <f>'Detailed Budget'!C147</f>
        <v>300000</v>
      </c>
      <c r="D7" s="30">
        <f t="shared" si="0"/>
        <v>4.0520208157171729E-2</v>
      </c>
      <c r="E7" s="30">
        <f t="shared" si="1"/>
        <v>2.2052821270351887E-2</v>
      </c>
      <c r="F7" s="30">
        <f t="shared" si="2"/>
        <v>-0.16666666666666666</v>
      </c>
      <c r="G7" s="72">
        <f t="shared" si="3"/>
        <v>-50000</v>
      </c>
    </row>
    <row r="8" spans="1:7" ht="15" x14ac:dyDescent="0.2">
      <c r="A8" s="29" t="s">
        <v>645</v>
      </c>
      <c r="B8" s="40">
        <f>'Detailed Budget'!B190</f>
        <v>165900</v>
      </c>
      <c r="C8" s="40">
        <f>'Detailed Budget'!C190</f>
        <v>171800</v>
      </c>
      <c r="D8" s="30">
        <f t="shared" si="0"/>
        <v>2.688921013309916E-2</v>
      </c>
      <c r="E8" s="30">
        <f t="shared" si="1"/>
        <v>1.4634252195005512E-2</v>
      </c>
      <c r="F8" s="30">
        <f t="shared" si="2"/>
        <v>-3.4342258440046569E-2</v>
      </c>
      <c r="G8" s="72">
        <f t="shared" si="3"/>
        <v>-5900</v>
      </c>
    </row>
    <row r="9" spans="1:7" ht="15" x14ac:dyDescent="0.2">
      <c r="A9" s="29" t="s">
        <v>712</v>
      </c>
      <c r="B9" s="40">
        <f>'Detailed Budget'!B208</f>
        <v>23000</v>
      </c>
      <c r="C9" s="40">
        <f>'Detailed Budget'!C208</f>
        <v>23000</v>
      </c>
      <c r="D9" s="30">
        <f t="shared" si="0"/>
        <v>3.7278591504597992E-3</v>
      </c>
      <c r="E9" s="30">
        <f t="shared" si="1"/>
        <v>2.0288595568723738E-3</v>
      </c>
      <c r="F9" s="30">
        <f>+G9/C9</f>
        <v>0</v>
      </c>
      <c r="G9" s="72">
        <f>+B9-C9</f>
        <v>0</v>
      </c>
    </row>
    <row r="10" spans="1:7" ht="15" x14ac:dyDescent="0.2">
      <c r="A10" s="29" t="s">
        <v>657</v>
      </c>
      <c r="B10" s="40">
        <f>'Detailed Budget'!B215</f>
        <v>162000</v>
      </c>
      <c r="C10" s="40">
        <f>'Detailed Budget'!C215</f>
        <v>162000</v>
      </c>
      <c r="D10" s="30">
        <f t="shared" si="0"/>
        <v>2.6257094885847279E-2</v>
      </c>
      <c r="E10" s="30">
        <f t="shared" si="1"/>
        <v>1.4290228183188022E-2</v>
      </c>
      <c r="F10" s="30">
        <f>+G10/C10</f>
        <v>0</v>
      </c>
      <c r="G10" s="72">
        <f>+B10-C10</f>
        <v>0</v>
      </c>
    </row>
    <row r="11" spans="1:7" ht="15" x14ac:dyDescent="0.2">
      <c r="A11" s="29" t="s">
        <v>646</v>
      </c>
      <c r="B11" s="40">
        <f>'Detailed Budget'!B227</f>
        <v>17000</v>
      </c>
      <c r="C11" s="40">
        <f>'Detailed Budget'!C227</f>
        <v>17000</v>
      </c>
      <c r="D11" s="30">
        <f t="shared" si="0"/>
        <v>2.7553741546876777E-3</v>
      </c>
      <c r="E11" s="30">
        <f t="shared" si="1"/>
        <v>1.4995918463839284E-3</v>
      </c>
      <c r="F11" s="30">
        <f t="shared" si="2"/>
        <v>0</v>
      </c>
      <c r="G11" s="72">
        <f t="shared" si="3"/>
        <v>0</v>
      </c>
    </row>
    <row r="12" spans="1:7" ht="15" x14ac:dyDescent="0.2">
      <c r="A12" s="29" t="s">
        <v>647</v>
      </c>
      <c r="B12" s="40">
        <f>'Detailed Budget'!B268</f>
        <v>3767100</v>
      </c>
      <c r="C12" s="40">
        <f>'Detailed Budget'!C268</f>
        <v>4258360</v>
      </c>
      <c r="D12" s="30">
        <f t="shared" si="0"/>
        <v>0.61057470459552643</v>
      </c>
      <c r="E12" s="30">
        <f t="shared" si="1"/>
        <v>0.33230073203017035</v>
      </c>
      <c r="F12" s="30">
        <f t="shared" si="2"/>
        <v>-0.1153636611277581</v>
      </c>
      <c r="G12" s="72">
        <f t="shared" si="3"/>
        <v>-491260</v>
      </c>
    </row>
    <row r="13" spans="1:7" ht="15" x14ac:dyDescent="0.2">
      <c r="A13" s="29" t="s">
        <v>648</v>
      </c>
      <c r="B13" s="40">
        <f>'Detailed Budget'!B273</f>
        <v>217827</v>
      </c>
      <c r="C13" s="40">
        <f>'Detailed Budget'!C273</f>
        <v>212451</v>
      </c>
      <c r="D13" s="30">
        <f t="shared" si="0"/>
        <v>3.5305581529008985E-2</v>
      </c>
      <c r="E13" s="30">
        <f t="shared" si="1"/>
        <v>1.9214799595427764E-2</v>
      </c>
      <c r="F13" s="30">
        <f t="shared" si="2"/>
        <v>2.5304658485956762E-2</v>
      </c>
      <c r="G13" s="72">
        <f t="shared" si="3"/>
        <v>5376</v>
      </c>
    </row>
    <row r="14" spans="1:7" s="27" customFormat="1" x14ac:dyDescent="0.25">
      <c r="A14" s="27" t="s">
        <v>649</v>
      </c>
      <c r="B14" s="41">
        <f>SUM(B5:B13)</f>
        <v>6169761</v>
      </c>
      <c r="C14" s="31">
        <f>SUM(C5:C13)</f>
        <v>6659875</v>
      </c>
      <c r="D14" s="32">
        <f>SUM(D5:D13)</f>
        <v>0.99999999999999989</v>
      </c>
      <c r="E14" s="32">
        <f>SUM(E5:E13)</f>
        <v>0.54424254645515013</v>
      </c>
      <c r="F14" s="32">
        <f>+G14/C14</f>
        <v>-7.3592071923271829E-2</v>
      </c>
      <c r="G14" s="73">
        <f>+B14-C14</f>
        <v>-490114</v>
      </c>
    </row>
    <row r="15" spans="1:7" ht="15" x14ac:dyDescent="0.2">
      <c r="B15" s="42"/>
      <c r="C15" s="33"/>
      <c r="D15" s="30"/>
      <c r="E15" s="30"/>
      <c r="F15" s="30"/>
      <c r="G15" s="72"/>
    </row>
    <row r="16" spans="1:7" s="27" customFormat="1" ht="18.75" x14ac:dyDescent="0.3">
      <c r="A16" s="25" t="s">
        <v>650</v>
      </c>
      <c r="B16" s="43"/>
      <c r="C16" s="34"/>
      <c r="D16" s="35"/>
      <c r="E16" s="35"/>
      <c r="F16" s="35"/>
      <c r="G16" s="74"/>
    </row>
    <row r="17" spans="1:10" ht="15" x14ac:dyDescent="0.2">
      <c r="A17" s="29" t="s">
        <v>651</v>
      </c>
      <c r="B17" s="40">
        <f>'Detailed Budget'!B282</f>
        <v>735551</v>
      </c>
      <c r="C17" s="40">
        <f>'Detailed Budget'!C282</f>
        <v>717399</v>
      </c>
      <c r="D17" s="30">
        <f t="shared" ref="D17:D33" si="4">+B17/$B$34</f>
        <v>0.22137827085912892</v>
      </c>
      <c r="E17" s="30">
        <f t="shared" ref="E17:E34" si="5">+B17/$B$51</f>
        <v>6.4883898952914409E-2</v>
      </c>
      <c r="F17" s="30">
        <f t="shared" ref="F17:F33" si="6">+G17/C17</f>
        <v>2.5302516451793215E-2</v>
      </c>
      <c r="G17" s="72">
        <f t="shared" ref="G17:G33" si="7">+B17-C17</f>
        <v>18152</v>
      </c>
      <c r="J17" s="28"/>
    </row>
    <row r="18" spans="1:10" ht="15" x14ac:dyDescent="0.2">
      <c r="A18" s="29" t="s">
        <v>652</v>
      </c>
      <c r="B18" s="40">
        <f>'Detailed Budget'!B286</f>
        <v>85000</v>
      </c>
      <c r="C18" s="40">
        <f>'Detailed Budget'!C286</f>
        <v>75000</v>
      </c>
      <c r="D18" s="30">
        <f t="shared" si="4"/>
        <v>2.5582390647318754E-2</v>
      </c>
      <c r="E18" s="30">
        <f t="shared" si="5"/>
        <v>7.4979592319196417E-3</v>
      </c>
      <c r="F18" s="30">
        <f t="shared" si="6"/>
        <v>0.13333333333333333</v>
      </c>
      <c r="G18" s="72">
        <f t="shared" si="7"/>
        <v>10000</v>
      </c>
      <c r="J18" s="28"/>
    </row>
    <row r="19" spans="1:10" ht="15" x14ac:dyDescent="0.2">
      <c r="A19" s="19" t="s">
        <v>653</v>
      </c>
      <c r="B19" s="40">
        <f>'Detailed Budget'!B301</f>
        <v>100000</v>
      </c>
      <c r="C19" s="40">
        <f>'Detailed Budget'!C301</f>
        <v>148200</v>
      </c>
      <c r="D19" s="30">
        <f t="shared" si="4"/>
        <v>3.0096930173316182E-2</v>
      </c>
      <c r="E19" s="30">
        <f t="shared" si="5"/>
        <v>8.8211285081407544E-3</v>
      </c>
      <c r="F19" s="30">
        <f t="shared" si="6"/>
        <v>-0.32523616734143052</v>
      </c>
      <c r="G19" s="72">
        <f t="shared" si="7"/>
        <v>-48200</v>
      </c>
    </row>
    <row r="20" spans="1:10" ht="15" x14ac:dyDescent="0.2">
      <c r="A20" s="19" t="s">
        <v>654</v>
      </c>
      <c r="B20" s="40">
        <f>'Detailed Budget'!B356</f>
        <v>845760</v>
      </c>
      <c r="C20" s="40">
        <f>'Detailed Budget'!C356</f>
        <v>881400</v>
      </c>
      <c r="D20" s="30">
        <f t="shared" si="4"/>
        <v>0.25454779663383892</v>
      </c>
      <c r="E20" s="30">
        <f t="shared" si="5"/>
        <v>7.4605576470451254E-2</v>
      </c>
      <c r="F20" s="30">
        <f t="shared" si="6"/>
        <v>-4.0435670524166099E-2</v>
      </c>
      <c r="G20" s="72">
        <f t="shared" si="7"/>
        <v>-35640</v>
      </c>
    </row>
    <row r="21" spans="1:10" ht="15" x14ac:dyDescent="0.2">
      <c r="A21" s="19" t="s">
        <v>655</v>
      </c>
      <c r="B21" s="40">
        <f>'Detailed Budget'!B365</f>
        <v>93250</v>
      </c>
      <c r="C21" s="40">
        <f>'Detailed Budget'!C365</f>
        <v>93250</v>
      </c>
      <c r="D21" s="30">
        <f t="shared" si="4"/>
        <v>2.806538738661734E-2</v>
      </c>
      <c r="E21" s="30">
        <f t="shared" si="5"/>
        <v>8.2257023338412547E-3</v>
      </c>
      <c r="F21" s="30">
        <f t="shared" si="6"/>
        <v>0</v>
      </c>
      <c r="G21" s="72">
        <f t="shared" si="7"/>
        <v>0</v>
      </c>
    </row>
    <row r="22" spans="1:10" ht="15" x14ac:dyDescent="0.2">
      <c r="A22" s="19" t="s">
        <v>656</v>
      </c>
      <c r="B22" s="40">
        <f>'Detailed Budget'!B378</f>
        <v>6755</v>
      </c>
      <c r="C22" s="40">
        <f>'Detailed Budget'!C378</f>
        <v>6755</v>
      </c>
      <c r="D22" s="30">
        <f t="shared" si="4"/>
        <v>2.0330476332075082E-3</v>
      </c>
      <c r="E22" s="30">
        <f t="shared" si="5"/>
        <v>5.9586723072490796E-4</v>
      </c>
      <c r="F22" s="30">
        <f t="shared" si="6"/>
        <v>0</v>
      </c>
      <c r="G22" s="72">
        <f t="shared" si="7"/>
        <v>0</v>
      </c>
    </row>
    <row r="23" spans="1:10" ht="15" x14ac:dyDescent="0.2">
      <c r="A23" s="19" t="s">
        <v>658</v>
      </c>
      <c r="B23" s="40">
        <f>'Detailed Budget'!B421</f>
        <v>302040</v>
      </c>
      <c r="C23" s="40">
        <f>'Detailed Budget'!C421</f>
        <v>371374</v>
      </c>
      <c r="D23" s="30">
        <f t="shared" si="4"/>
        <v>9.0904767895484198E-2</v>
      </c>
      <c r="E23" s="30">
        <f t="shared" si="5"/>
        <v>2.6643336545988335E-2</v>
      </c>
      <c r="F23" s="30">
        <f t="shared" si="6"/>
        <v>-0.18669589147328569</v>
      </c>
      <c r="G23" s="72">
        <f t="shared" si="7"/>
        <v>-69334</v>
      </c>
    </row>
    <row r="24" spans="1:10" ht="15" x14ac:dyDescent="0.2">
      <c r="A24" s="19" t="s">
        <v>659</v>
      </c>
      <c r="B24" s="40">
        <f>'Detailed Budget'!B431</f>
        <v>11900</v>
      </c>
      <c r="C24" s="40">
        <f>'Detailed Budget'!C431</f>
        <v>11900</v>
      </c>
      <c r="D24" s="30">
        <f t="shared" si="4"/>
        <v>3.5815346906246256E-3</v>
      </c>
      <c r="E24" s="30">
        <f t="shared" si="5"/>
        <v>1.0497142924687497E-3</v>
      </c>
      <c r="F24" s="30">
        <f t="shared" si="6"/>
        <v>0</v>
      </c>
      <c r="G24" s="72">
        <f t="shared" si="7"/>
        <v>0</v>
      </c>
    </row>
    <row r="25" spans="1:10" ht="15" x14ac:dyDescent="0.2">
      <c r="A25" s="19" t="s">
        <v>660</v>
      </c>
      <c r="B25" s="40">
        <f>'Detailed Budget'!B490</f>
        <v>342069</v>
      </c>
      <c r="C25" s="40">
        <f>'Detailed Budget'!C490</f>
        <v>343016</v>
      </c>
      <c r="D25" s="30">
        <f t="shared" si="4"/>
        <v>0.10295226807456093</v>
      </c>
      <c r="E25" s="30">
        <f t="shared" si="5"/>
        <v>3.0174346076511999E-2</v>
      </c>
      <c r="F25" s="30">
        <f t="shared" si="6"/>
        <v>-2.7608041607388575E-3</v>
      </c>
      <c r="G25" s="72">
        <f t="shared" si="7"/>
        <v>-947</v>
      </c>
    </row>
    <row r="26" spans="1:10" ht="15" x14ac:dyDescent="0.2">
      <c r="A26" s="19" t="s">
        <v>661</v>
      </c>
      <c r="B26" s="40">
        <f>'Detailed Budget'!B589</f>
        <v>634913</v>
      </c>
      <c r="C26" s="40">
        <f>'Detailed Budget'!C589</f>
        <v>658760</v>
      </c>
      <c r="D26" s="30">
        <f t="shared" si="4"/>
        <v>0.19108932227130698</v>
      </c>
      <c r="E26" s="30">
        <f t="shared" si="5"/>
        <v>5.6006491644891708E-2</v>
      </c>
      <c r="F26" s="30">
        <f t="shared" si="6"/>
        <v>-3.6199829983605561E-2</v>
      </c>
      <c r="G26" s="72">
        <f>+B26-C26</f>
        <v>-23847</v>
      </c>
    </row>
    <row r="27" spans="1:10" ht="15" x14ac:dyDescent="0.2">
      <c r="A27" s="19" t="s">
        <v>662</v>
      </c>
      <c r="B27" s="40">
        <f>'Detailed Budget'!B597</f>
        <v>48400</v>
      </c>
      <c r="C27" s="40">
        <f>'Detailed Budget'!C597</f>
        <v>40000</v>
      </c>
      <c r="D27" s="30">
        <f t="shared" si="4"/>
        <v>1.4566914203885032E-2</v>
      </c>
      <c r="E27" s="30">
        <f t="shared" si="5"/>
        <v>4.269426197940125E-3</v>
      </c>
      <c r="F27" s="30">
        <f t="shared" si="6"/>
        <v>0.21</v>
      </c>
      <c r="G27" s="72">
        <f t="shared" si="7"/>
        <v>8400</v>
      </c>
    </row>
    <row r="28" spans="1:10" ht="15" x14ac:dyDescent="0.2">
      <c r="A28" s="19" t="s">
        <v>663</v>
      </c>
      <c r="B28" s="40">
        <f>'Detailed Budget'!B616</f>
        <v>30060</v>
      </c>
      <c r="C28" s="40">
        <f>'Detailed Budget'!C616</f>
        <v>30060</v>
      </c>
      <c r="D28" s="30">
        <f t="shared" si="4"/>
        <v>9.0471372100988448E-3</v>
      </c>
      <c r="E28" s="30">
        <f t="shared" si="5"/>
        <v>2.6516312295471107E-3</v>
      </c>
      <c r="F28" s="30">
        <f t="shared" si="6"/>
        <v>0</v>
      </c>
      <c r="G28" s="72">
        <f t="shared" si="7"/>
        <v>0</v>
      </c>
    </row>
    <row r="29" spans="1:10" ht="15" x14ac:dyDescent="0.2">
      <c r="A29" s="19" t="s">
        <v>664</v>
      </c>
      <c r="B29" s="40">
        <f>'Detailed Budget'!B622</f>
        <v>2300</v>
      </c>
      <c r="C29" s="40">
        <f>'Detailed Budget'!C622</f>
        <v>2300</v>
      </c>
      <c r="D29" s="30">
        <f t="shared" si="4"/>
        <v>6.9222939398627214E-4</v>
      </c>
      <c r="E29" s="30">
        <f t="shared" si="5"/>
        <v>2.0288595568723736E-4</v>
      </c>
      <c r="F29" s="30">
        <f t="shared" si="6"/>
        <v>0</v>
      </c>
      <c r="G29" s="72">
        <f t="shared" si="7"/>
        <v>0</v>
      </c>
    </row>
    <row r="30" spans="1:10" ht="15" x14ac:dyDescent="0.2">
      <c r="A30" s="19" t="s">
        <v>665</v>
      </c>
      <c r="B30" s="40">
        <f>'Detailed Budget'!B634</f>
        <v>35800</v>
      </c>
      <c r="C30" s="40">
        <f>'Detailed Budget'!C634</f>
        <v>35800</v>
      </c>
      <c r="D30" s="30">
        <f t="shared" si="4"/>
        <v>1.0774701002047193E-2</v>
      </c>
      <c r="E30" s="30">
        <f t="shared" si="5"/>
        <v>3.1579640059143902E-3</v>
      </c>
      <c r="F30" s="30">
        <f t="shared" si="6"/>
        <v>0</v>
      </c>
      <c r="G30" s="72">
        <f t="shared" si="7"/>
        <v>0</v>
      </c>
    </row>
    <row r="31" spans="1:10" ht="15" x14ac:dyDescent="0.2">
      <c r="A31" s="19" t="s">
        <v>666</v>
      </c>
      <c r="B31" s="40">
        <f>'Detailed Budget'!B642</f>
        <v>5500</v>
      </c>
      <c r="C31" s="40">
        <f>'Detailed Budget'!C642</f>
        <v>5500</v>
      </c>
      <c r="D31" s="30">
        <f t="shared" si="4"/>
        <v>1.65533115953239E-3</v>
      </c>
      <c r="E31" s="30">
        <f t="shared" si="5"/>
        <v>4.8516206794774154E-4</v>
      </c>
      <c r="F31" s="30">
        <f t="shared" si="6"/>
        <v>0</v>
      </c>
      <c r="G31" s="72">
        <f t="shared" si="7"/>
        <v>0</v>
      </c>
    </row>
    <row r="32" spans="1:10" ht="15" x14ac:dyDescent="0.2">
      <c r="A32" s="19" t="s">
        <v>667</v>
      </c>
      <c r="B32" s="40">
        <f>'Detailed Budget'!B648</f>
        <v>20000</v>
      </c>
      <c r="C32" s="40">
        <f>'Detailed Budget'!C648</f>
        <v>20000</v>
      </c>
      <c r="D32" s="30">
        <f t="shared" si="4"/>
        <v>6.0193860346632365E-3</v>
      </c>
      <c r="E32" s="30">
        <f t="shared" si="5"/>
        <v>1.7642257016281509E-3</v>
      </c>
      <c r="F32" s="30">
        <f>+G32/C32</f>
        <v>0</v>
      </c>
      <c r="G32" s="72">
        <f>+B32-C32</f>
        <v>0</v>
      </c>
    </row>
    <row r="33" spans="1:7" ht="15" x14ac:dyDescent="0.2">
      <c r="A33" s="19" t="s">
        <v>668</v>
      </c>
      <c r="B33" s="40">
        <f>'Detailed Budget'!B669</f>
        <v>23300</v>
      </c>
      <c r="C33" s="40">
        <f>'Detailed Budget'!C669</f>
        <v>23300</v>
      </c>
      <c r="D33" s="30">
        <f t="shared" si="4"/>
        <v>7.0125847303826707E-3</v>
      </c>
      <c r="E33" s="30">
        <f t="shared" si="5"/>
        <v>2.0553229423967961E-3</v>
      </c>
      <c r="F33" s="30">
        <f t="shared" si="6"/>
        <v>0</v>
      </c>
      <c r="G33" s="72">
        <f t="shared" si="7"/>
        <v>0</v>
      </c>
    </row>
    <row r="34" spans="1:7" s="27" customFormat="1" x14ac:dyDescent="0.25">
      <c r="A34" s="27" t="s">
        <v>669</v>
      </c>
      <c r="B34" s="41">
        <f>SUM(B17:B33)</f>
        <v>3322598</v>
      </c>
      <c r="C34" s="31">
        <f>SUM(C17:C33)</f>
        <v>3464014</v>
      </c>
      <c r="D34" s="32">
        <f>SUM(D17:D33)</f>
        <v>1</v>
      </c>
      <c r="E34" s="32">
        <f t="shared" si="5"/>
        <v>0.29309063938891455</v>
      </c>
      <c r="F34" s="32">
        <f>+G34/C34</f>
        <v>-4.0824315375168806E-2</v>
      </c>
      <c r="G34" s="73">
        <f>+B34-C34</f>
        <v>-141416</v>
      </c>
    </row>
    <row r="35" spans="1:7" ht="15" x14ac:dyDescent="0.2">
      <c r="B35" s="40"/>
      <c r="C35" s="28"/>
      <c r="D35" s="30"/>
      <c r="E35" s="30"/>
      <c r="F35" s="30"/>
      <c r="G35" s="72"/>
    </row>
    <row r="36" spans="1:7" s="27" customFormat="1" ht="18.75" x14ac:dyDescent="0.3">
      <c r="A36" s="25" t="s">
        <v>670</v>
      </c>
      <c r="B36" s="43"/>
      <c r="C36" s="34"/>
      <c r="D36" s="35"/>
      <c r="E36" s="35"/>
      <c r="F36" s="35"/>
      <c r="G36" s="74"/>
    </row>
    <row r="37" spans="1:7" ht="15" x14ac:dyDescent="0.2">
      <c r="A37" s="19" t="s">
        <v>671</v>
      </c>
      <c r="B37" s="40">
        <f>'Detailed Budget'!B677</f>
        <v>19398</v>
      </c>
      <c r="C37" s="40">
        <f>'Detailed Budget'!C677</f>
        <v>19398</v>
      </c>
      <c r="D37" s="30">
        <f t="shared" ref="D37:D48" si="8">+B37/$B$49</f>
        <v>1.0519186208250387E-2</v>
      </c>
      <c r="E37" s="30">
        <f t="shared" ref="E37:E48" si="9">+B37/$B$51</f>
        <v>1.7111225080091437E-3</v>
      </c>
      <c r="F37" s="30">
        <f t="shared" ref="F37:F48" si="10">+G37/C37</f>
        <v>0</v>
      </c>
      <c r="G37" s="72">
        <f t="shared" ref="G37:G48" si="11">+B37-C37</f>
        <v>0</v>
      </c>
    </row>
    <row r="38" spans="1:7" ht="15" x14ac:dyDescent="0.2">
      <c r="A38" s="19" t="s">
        <v>672</v>
      </c>
      <c r="B38" s="40">
        <f>'Detailed Budget'!B681</f>
        <v>10000</v>
      </c>
      <c r="C38" s="40">
        <f>'Detailed Budget'!C681</f>
        <v>10000</v>
      </c>
      <c r="D38" s="30">
        <f t="shared" si="8"/>
        <v>5.4228199856946012E-3</v>
      </c>
      <c r="E38" s="30">
        <f t="shared" si="9"/>
        <v>8.8211285081407544E-4</v>
      </c>
      <c r="F38" s="30">
        <f t="shared" si="10"/>
        <v>0</v>
      </c>
      <c r="G38" s="72">
        <f t="shared" si="11"/>
        <v>0</v>
      </c>
    </row>
    <row r="39" spans="1:7" ht="15" x14ac:dyDescent="0.2">
      <c r="A39" s="19" t="s">
        <v>673</v>
      </c>
      <c r="B39" s="40">
        <f>'Detailed Budget'!B685</f>
        <v>11000</v>
      </c>
      <c r="C39" s="40">
        <f>'Detailed Budget'!C685</f>
        <v>11000</v>
      </c>
      <c r="D39" s="30">
        <f t="shared" si="8"/>
        <v>5.9651019842640613E-3</v>
      </c>
      <c r="E39" s="30">
        <f t="shared" si="9"/>
        <v>9.7032413589548307E-4</v>
      </c>
      <c r="F39" s="30">
        <f t="shared" si="10"/>
        <v>0</v>
      </c>
      <c r="G39" s="72">
        <f t="shared" si="11"/>
        <v>0</v>
      </c>
    </row>
    <row r="40" spans="1:7" ht="15" x14ac:dyDescent="0.2">
      <c r="A40" s="19" t="s">
        <v>674</v>
      </c>
      <c r="B40" s="40">
        <f>'Detailed Budget'!B694</f>
        <v>3300</v>
      </c>
      <c r="C40" s="40">
        <f>'Detailed Budget'!C694</f>
        <v>3300</v>
      </c>
      <c r="D40" s="30">
        <f t="shared" si="8"/>
        <v>1.7895305952792184E-3</v>
      </c>
      <c r="E40" s="30">
        <f t="shared" si="9"/>
        <v>2.9109724076864491E-4</v>
      </c>
      <c r="F40" s="30">
        <f t="shared" si="10"/>
        <v>0</v>
      </c>
      <c r="G40" s="72">
        <f t="shared" si="11"/>
        <v>0</v>
      </c>
    </row>
    <row r="41" spans="1:7" ht="15" x14ac:dyDescent="0.2">
      <c r="A41" s="19" t="s">
        <v>675</v>
      </c>
      <c r="B41" s="40">
        <f>'Detailed Budget'!B750</f>
        <v>659280</v>
      </c>
      <c r="C41" s="40">
        <f>'Detailed Budget'!C750</f>
        <v>610211</v>
      </c>
      <c r="D41" s="30">
        <f t="shared" si="8"/>
        <v>0.35751567601687367</v>
      </c>
      <c r="E41" s="30">
        <f t="shared" si="9"/>
        <v>5.815593602847037E-2</v>
      </c>
      <c r="F41" s="30">
        <f t="shared" si="10"/>
        <v>8.0413168559727702E-2</v>
      </c>
      <c r="G41" s="72">
        <f t="shared" si="11"/>
        <v>49069</v>
      </c>
    </row>
    <row r="42" spans="1:7" ht="15" x14ac:dyDescent="0.2">
      <c r="A42" s="19" t="s">
        <v>676</v>
      </c>
      <c r="B42" s="40">
        <f>'Detailed Budget'!B776</f>
        <v>116100</v>
      </c>
      <c r="C42" s="40">
        <f>'Detailed Budget'!C776</f>
        <v>117800</v>
      </c>
      <c r="D42" s="30">
        <f t="shared" si="8"/>
        <v>6.2958940033914321E-2</v>
      </c>
      <c r="E42" s="30">
        <f t="shared" si="9"/>
        <v>1.0241330197951416E-2</v>
      </c>
      <c r="F42" s="30">
        <f t="shared" si="10"/>
        <v>-1.4431239388794566E-2</v>
      </c>
      <c r="G42" s="72">
        <f t="shared" si="11"/>
        <v>-1700</v>
      </c>
    </row>
    <row r="43" spans="1:7" ht="15" x14ac:dyDescent="0.2">
      <c r="A43" s="19" t="s">
        <v>677</v>
      </c>
      <c r="B43" s="40">
        <f>'Detailed Budget'!B803</f>
        <v>212900</v>
      </c>
      <c r="C43" s="40">
        <f>'Detailed Budget'!C803</f>
        <v>209900</v>
      </c>
      <c r="D43" s="30">
        <f t="shared" si="8"/>
        <v>0.11545183749543805</v>
      </c>
      <c r="E43" s="30">
        <f t="shared" si="9"/>
        <v>1.8780182593831667E-2</v>
      </c>
      <c r="F43" s="30">
        <f t="shared" si="10"/>
        <v>1.4292520247737018E-2</v>
      </c>
      <c r="G43" s="72">
        <f t="shared" si="11"/>
        <v>3000</v>
      </c>
    </row>
    <row r="44" spans="1:7" ht="15" x14ac:dyDescent="0.2">
      <c r="A44" s="19" t="s">
        <v>678</v>
      </c>
      <c r="B44" s="40">
        <f>'Detailed Budget'!B808</f>
        <v>280600</v>
      </c>
      <c r="C44" s="40">
        <f>'Detailed Budget'!C808</f>
        <v>290000</v>
      </c>
      <c r="D44" s="30">
        <f t="shared" si="8"/>
        <v>0.15216432879859049</v>
      </c>
      <c r="E44" s="30">
        <f t="shared" si="9"/>
        <v>2.4752086593842957E-2</v>
      </c>
      <c r="F44" s="30">
        <f t="shared" si="10"/>
        <v>-3.2413793103448274E-2</v>
      </c>
      <c r="G44" s="72">
        <f t="shared" si="11"/>
        <v>-9400</v>
      </c>
    </row>
    <row r="45" spans="1:7" ht="15" x14ac:dyDescent="0.2">
      <c r="A45" s="19" t="s">
        <v>679</v>
      </c>
      <c r="B45" s="40">
        <f>'Detailed Budget'!B812</f>
        <v>30000</v>
      </c>
      <c r="C45" s="40">
        <f>'Detailed Budget'!C812</f>
        <v>30000</v>
      </c>
      <c r="D45" s="30">
        <f t="shared" si="8"/>
        <v>1.6268459957083804E-2</v>
      </c>
      <c r="E45" s="30">
        <f t="shared" si="9"/>
        <v>2.6463385524422263E-3</v>
      </c>
      <c r="F45" s="30">
        <f t="shared" si="10"/>
        <v>0</v>
      </c>
      <c r="G45" s="72">
        <f t="shared" si="11"/>
        <v>0</v>
      </c>
    </row>
    <row r="46" spans="1:7" ht="15" x14ac:dyDescent="0.2">
      <c r="A46" s="19" t="s">
        <v>680</v>
      </c>
      <c r="B46" s="40">
        <f>'Detailed Budget'!B816</f>
        <v>25000</v>
      </c>
      <c r="C46" s="40">
        <f>'Detailed Budget'!C816</f>
        <v>25000</v>
      </c>
      <c r="D46" s="30">
        <f t="shared" si="8"/>
        <v>1.3557049964236503E-2</v>
      </c>
      <c r="E46" s="30">
        <f t="shared" si="9"/>
        <v>2.2052821270351886E-3</v>
      </c>
      <c r="F46" s="30">
        <f t="shared" si="10"/>
        <v>0</v>
      </c>
      <c r="G46" s="72">
        <f t="shared" si="11"/>
        <v>0</v>
      </c>
    </row>
    <row r="47" spans="1:7" ht="15" x14ac:dyDescent="0.2">
      <c r="A47" s="19" t="s">
        <v>681</v>
      </c>
      <c r="B47" s="40">
        <f>'Detailed Budget'!B820</f>
        <v>62108.75</v>
      </c>
      <c r="C47" s="40">
        <f>'Detailed Budget'!C820</f>
        <v>60576</v>
      </c>
      <c r="D47" s="30">
        <f t="shared" si="8"/>
        <v>3.3680457078650951E-2</v>
      </c>
      <c r="E47" s="30">
        <f t="shared" si="9"/>
        <v>5.4786926522998715E-3</v>
      </c>
      <c r="F47" s="30">
        <f t="shared" si="10"/>
        <v>2.5302925250924459E-2</v>
      </c>
      <c r="G47" s="72">
        <f t="shared" si="11"/>
        <v>1532.75</v>
      </c>
    </row>
    <row r="48" spans="1:7" ht="15" x14ac:dyDescent="0.2">
      <c r="A48" s="19" t="s">
        <v>682</v>
      </c>
      <c r="B48" s="40">
        <f>'Detailed Budget'!B828</f>
        <v>414372.25</v>
      </c>
      <c r="C48" s="40">
        <f>'Detailed Budget'!C828</f>
        <v>404147</v>
      </c>
      <c r="D48" s="30">
        <f t="shared" si="8"/>
        <v>0.22470661188172394</v>
      </c>
      <c r="E48" s="30">
        <f t="shared" si="9"/>
        <v>3.6552308674574277E-2</v>
      </c>
      <c r="F48" s="30">
        <f t="shared" si="10"/>
        <v>2.5300818761490249E-2</v>
      </c>
      <c r="G48" s="72">
        <f t="shared" si="11"/>
        <v>10225.25</v>
      </c>
    </row>
    <row r="49" spans="1:7" x14ac:dyDescent="0.25">
      <c r="A49" s="27" t="s">
        <v>683</v>
      </c>
      <c r="B49" s="41">
        <f>SUM(B37:B48)</f>
        <v>1844059</v>
      </c>
      <c r="C49" s="31">
        <f>SUM(C37:C48)</f>
        <v>1791332</v>
      </c>
      <c r="D49" s="32">
        <f>SUM(D37:D48)</f>
        <v>1</v>
      </c>
      <c r="E49" s="32">
        <f>+B49/$B$51</f>
        <v>0.16266681415593531</v>
      </c>
      <c r="F49" s="32">
        <f>+G49/C49</f>
        <v>2.9434521350592744E-2</v>
      </c>
      <c r="G49" s="73">
        <f>+B49-C49</f>
        <v>52727</v>
      </c>
    </row>
    <row r="50" spans="1:7" x14ac:dyDescent="0.25">
      <c r="B50" s="43"/>
      <c r="C50" s="34"/>
      <c r="D50" s="35"/>
      <c r="E50" s="35"/>
      <c r="F50" s="35"/>
      <c r="G50" s="74"/>
    </row>
    <row r="51" spans="1:7" ht="16.5" thickBot="1" x14ac:dyDescent="0.3">
      <c r="A51" s="36" t="s">
        <v>684</v>
      </c>
      <c r="B51" s="44">
        <f>+B49+B34+B14</f>
        <v>11336418</v>
      </c>
      <c r="C51" s="37">
        <f>+C49+C34+C14</f>
        <v>11915221</v>
      </c>
      <c r="D51" s="38">
        <v>1</v>
      </c>
      <c r="E51" s="38">
        <f>+E49+E34+E14</f>
        <v>1</v>
      </c>
      <c r="F51" s="38">
        <f>+G51/C51</f>
        <v>-4.8576774194956179E-2</v>
      </c>
      <c r="G51" s="75">
        <f>+B51-C51</f>
        <v>-578803</v>
      </c>
    </row>
    <row r="52" spans="1:7" ht="16.5" thickTop="1" x14ac:dyDescent="0.25">
      <c r="B52" s="28"/>
      <c r="C52" s="28"/>
      <c r="F52" s="27"/>
      <c r="G52" s="34"/>
    </row>
    <row r="53" spans="1:7" ht="57" customHeight="1" x14ac:dyDescent="0.2">
      <c r="A53" s="46" t="s">
        <v>704</v>
      </c>
      <c r="B53" s="47">
        <f>'Detailed Budget'!B835</f>
        <v>1357988</v>
      </c>
      <c r="C53" s="102" t="s">
        <v>710</v>
      </c>
      <c r="D53" s="103"/>
      <c r="E53" s="103"/>
      <c r="F53" s="103"/>
      <c r="G53" s="103"/>
    </row>
    <row r="54" spans="1:7" x14ac:dyDescent="0.25">
      <c r="B54" s="35"/>
      <c r="C54" s="35"/>
    </row>
    <row r="55" spans="1:7" ht="16.5" thickBot="1" x14ac:dyDescent="0.3">
      <c r="A55" s="27" t="s">
        <v>705</v>
      </c>
      <c r="B55" s="48">
        <f>B51-B53</f>
        <v>9978430</v>
      </c>
      <c r="C55" s="34"/>
      <c r="F55" s="28"/>
    </row>
    <row r="56" spans="1:7" ht="16.5" thickTop="1" x14ac:dyDescent="0.25">
      <c r="B56" s="34"/>
      <c r="C56" s="34"/>
      <c r="D56" s="34"/>
      <c r="F56" s="30"/>
    </row>
    <row r="57" spans="1:7" x14ac:dyDescent="0.25">
      <c r="B57" s="39"/>
      <c r="C57" s="39"/>
    </row>
  </sheetData>
  <mergeCells count="2">
    <mergeCell ref="A1:G1"/>
    <mergeCell ref="C53:G53"/>
  </mergeCells>
  <pageMargins left="0.25" right="0.25" top="0.75" bottom="0.75" header="0.3" footer="0.3"/>
  <pageSetup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37"/>
  <sheetViews>
    <sheetView zoomScaleNormal="100" workbookViewId="0">
      <pane xSplit="1" ySplit="3" topLeftCell="B808" activePane="bottomRight" state="frozen"/>
      <selection pane="topRight" activeCell="B1" sqref="B1"/>
      <selection pane="bottomLeft" activeCell="A2" sqref="A2"/>
      <selection pane="bottomRight" activeCell="B828" sqref="B828"/>
    </sheetView>
  </sheetViews>
  <sheetFormatPr defaultColWidth="9.140625" defaultRowHeight="12.75" x14ac:dyDescent="0.2"/>
  <cols>
    <col min="1" max="1" width="75.85546875" style="50" bestFit="1" customWidth="1"/>
    <col min="2" max="2" width="15.85546875" style="99" bestFit="1" customWidth="1"/>
    <col min="3" max="3" width="13.85546875" style="99" bestFit="1" customWidth="1"/>
    <col min="4" max="4" width="10.85546875" style="99" bestFit="1" customWidth="1"/>
    <col min="5" max="5" width="10.7109375" style="15" bestFit="1" customWidth="1"/>
    <col min="6" max="6" width="9.140625" style="50"/>
    <col min="7" max="7" width="9.7109375" style="50" bestFit="1" customWidth="1"/>
    <col min="8" max="16384" width="9.140625" style="50"/>
  </cols>
  <sheetData>
    <row r="1" spans="1:5" ht="20.25" x14ac:dyDescent="0.3">
      <c r="A1" s="101" t="s">
        <v>711</v>
      </c>
      <c r="B1" s="101"/>
      <c r="C1" s="101"/>
      <c r="D1" s="101"/>
      <c r="E1" s="101"/>
    </row>
    <row r="3" spans="1:5" ht="26.25" thickBot="1" x14ac:dyDescent="0.25">
      <c r="A3" s="49" t="s">
        <v>562</v>
      </c>
      <c r="B3" s="76" t="s">
        <v>685</v>
      </c>
      <c r="C3" s="76" t="s">
        <v>686</v>
      </c>
      <c r="D3" s="76" t="s">
        <v>563</v>
      </c>
      <c r="E3" s="4" t="s">
        <v>561</v>
      </c>
    </row>
    <row r="4" spans="1:5" ht="13.5" thickBot="1" x14ac:dyDescent="0.25">
      <c r="A4" s="51" t="s">
        <v>516</v>
      </c>
      <c r="B4" s="77"/>
      <c r="C4" s="77"/>
      <c r="D4" s="77"/>
      <c r="E4" s="6"/>
    </row>
    <row r="5" spans="1:5" x14ac:dyDescent="0.2">
      <c r="A5" s="52" t="s">
        <v>478</v>
      </c>
      <c r="B5" s="78"/>
      <c r="C5" s="78"/>
      <c r="D5" s="78"/>
      <c r="E5" s="3"/>
    </row>
    <row r="6" spans="1:5" x14ac:dyDescent="0.2">
      <c r="A6" s="53" t="s">
        <v>1</v>
      </c>
      <c r="B6" s="79"/>
      <c r="C6" s="79"/>
      <c r="D6" s="79"/>
      <c r="E6" s="7"/>
    </row>
    <row r="7" spans="1:5" x14ac:dyDescent="0.2">
      <c r="A7" s="54" t="s">
        <v>2</v>
      </c>
      <c r="B7" s="80">
        <v>250</v>
      </c>
      <c r="C7" s="80">
        <v>250</v>
      </c>
      <c r="D7" s="79">
        <f t="shared" ref="D7:D13" si="0">B7-C7</f>
        <v>0</v>
      </c>
      <c r="E7" s="7">
        <f t="shared" ref="E7:E13" si="1">D7/C7</f>
        <v>0</v>
      </c>
    </row>
    <row r="8" spans="1:5" x14ac:dyDescent="0.2">
      <c r="A8" s="54" t="s">
        <v>3</v>
      </c>
      <c r="B8" s="80">
        <v>7300</v>
      </c>
      <c r="C8" s="80">
        <v>7300</v>
      </c>
      <c r="D8" s="79">
        <f t="shared" si="0"/>
        <v>0</v>
      </c>
      <c r="E8" s="7">
        <f t="shared" si="1"/>
        <v>0</v>
      </c>
    </row>
    <row r="9" spans="1:5" x14ac:dyDescent="0.2">
      <c r="A9" s="54" t="s">
        <v>4</v>
      </c>
      <c r="B9" s="80">
        <v>8500</v>
      </c>
      <c r="C9" s="80">
        <v>8500</v>
      </c>
      <c r="D9" s="79">
        <f t="shared" si="0"/>
        <v>0</v>
      </c>
      <c r="E9" s="7">
        <f t="shared" si="1"/>
        <v>0</v>
      </c>
    </row>
    <row r="10" spans="1:5" x14ac:dyDescent="0.2">
      <c r="A10" s="54" t="s">
        <v>5</v>
      </c>
      <c r="B10" s="80">
        <v>0</v>
      </c>
      <c r="C10" s="80">
        <v>0</v>
      </c>
      <c r="D10" s="79">
        <f t="shared" si="0"/>
        <v>0</v>
      </c>
      <c r="E10" s="7" t="e">
        <f t="shared" si="1"/>
        <v>#DIV/0!</v>
      </c>
    </row>
    <row r="11" spans="1:5" x14ac:dyDescent="0.2">
      <c r="A11" s="54" t="s">
        <v>6</v>
      </c>
      <c r="B11" s="80">
        <v>4000</v>
      </c>
      <c r="C11" s="80">
        <v>4000</v>
      </c>
      <c r="D11" s="79">
        <f t="shared" si="0"/>
        <v>0</v>
      </c>
      <c r="E11" s="7">
        <f t="shared" si="1"/>
        <v>0</v>
      </c>
    </row>
    <row r="12" spans="1:5" x14ac:dyDescent="0.2">
      <c r="A12" s="54" t="s">
        <v>7</v>
      </c>
      <c r="B12" s="80">
        <v>2000</v>
      </c>
      <c r="C12" s="80">
        <v>2000</v>
      </c>
      <c r="D12" s="79">
        <f t="shared" si="0"/>
        <v>0</v>
      </c>
      <c r="E12" s="7">
        <f t="shared" si="1"/>
        <v>0</v>
      </c>
    </row>
    <row r="13" spans="1:5" x14ac:dyDescent="0.2">
      <c r="A13" s="54" t="s">
        <v>8</v>
      </c>
      <c r="B13" s="80">
        <v>3200</v>
      </c>
      <c r="C13" s="80">
        <v>3200</v>
      </c>
      <c r="D13" s="79">
        <f t="shared" si="0"/>
        <v>0</v>
      </c>
      <c r="E13" s="7">
        <f t="shared" si="1"/>
        <v>0</v>
      </c>
    </row>
    <row r="14" spans="1:5" x14ac:dyDescent="0.2">
      <c r="A14" s="54" t="s">
        <v>564</v>
      </c>
      <c r="B14" s="80">
        <v>900</v>
      </c>
      <c r="C14" s="80">
        <v>900</v>
      </c>
      <c r="D14" s="79">
        <v>0</v>
      </c>
      <c r="E14" s="7">
        <v>0</v>
      </c>
    </row>
    <row r="15" spans="1:5" ht="13.5" thickBot="1" x14ac:dyDescent="0.25">
      <c r="A15" s="55" t="s">
        <v>596</v>
      </c>
      <c r="B15" s="80">
        <v>4800</v>
      </c>
      <c r="C15" s="80">
        <v>4800</v>
      </c>
      <c r="D15" s="79">
        <f>B15-C15</f>
        <v>0</v>
      </c>
      <c r="E15" s="7">
        <f>D15/C15</f>
        <v>0</v>
      </c>
    </row>
    <row r="16" spans="1:5" x14ac:dyDescent="0.2">
      <c r="A16" s="53" t="s">
        <v>9</v>
      </c>
      <c r="B16" s="81">
        <f>SUM(B7:B15)</f>
        <v>30950</v>
      </c>
      <c r="C16" s="81">
        <f>SUM(C7:C15)</f>
        <v>30950</v>
      </c>
      <c r="D16" s="81">
        <f>B16-C16</f>
        <v>0</v>
      </c>
      <c r="E16" s="8">
        <f>(B16-C16)/C16</f>
        <v>0</v>
      </c>
    </row>
    <row r="17" spans="1:5" x14ac:dyDescent="0.2">
      <c r="A17" s="56"/>
      <c r="B17" s="82"/>
      <c r="C17" s="82"/>
      <c r="D17" s="82"/>
      <c r="E17" s="9"/>
    </row>
    <row r="18" spans="1:5" x14ac:dyDescent="0.2">
      <c r="A18" s="53" t="s">
        <v>706</v>
      </c>
      <c r="B18" s="79"/>
      <c r="C18" s="79"/>
      <c r="D18" s="79"/>
      <c r="E18" s="7"/>
    </row>
    <row r="19" spans="1:5" x14ac:dyDescent="0.2">
      <c r="A19" s="54" t="s">
        <v>10</v>
      </c>
      <c r="B19" s="80">
        <v>500</v>
      </c>
      <c r="C19" s="80">
        <v>500</v>
      </c>
      <c r="D19" s="79">
        <f t="shared" ref="D19:D28" si="2">B19-C19</f>
        <v>0</v>
      </c>
      <c r="E19" s="7">
        <f t="shared" ref="E19:E27" si="3">D19/C19</f>
        <v>0</v>
      </c>
    </row>
    <row r="20" spans="1:5" x14ac:dyDescent="0.2">
      <c r="A20" s="54" t="s">
        <v>11</v>
      </c>
      <c r="B20" s="80">
        <v>5300</v>
      </c>
      <c r="C20" s="80">
        <v>5300</v>
      </c>
      <c r="D20" s="79">
        <f t="shared" si="2"/>
        <v>0</v>
      </c>
      <c r="E20" s="7">
        <f t="shared" si="3"/>
        <v>0</v>
      </c>
    </row>
    <row r="21" spans="1:5" x14ac:dyDescent="0.2">
      <c r="A21" s="54" t="s">
        <v>12</v>
      </c>
      <c r="B21" s="80">
        <v>8400</v>
      </c>
      <c r="C21" s="80">
        <v>8400</v>
      </c>
      <c r="D21" s="79">
        <f t="shared" si="2"/>
        <v>0</v>
      </c>
      <c r="E21" s="7">
        <f t="shared" si="3"/>
        <v>0</v>
      </c>
    </row>
    <row r="22" spans="1:5" x14ac:dyDescent="0.2">
      <c r="A22" s="54" t="s">
        <v>13</v>
      </c>
      <c r="B22" s="80">
        <v>12000</v>
      </c>
      <c r="C22" s="80">
        <v>12000</v>
      </c>
      <c r="D22" s="79">
        <f t="shared" si="2"/>
        <v>0</v>
      </c>
      <c r="E22" s="7">
        <f t="shared" si="3"/>
        <v>0</v>
      </c>
    </row>
    <row r="23" spans="1:5" x14ac:dyDescent="0.2">
      <c r="A23" s="54" t="s">
        <v>14</v>
      </c>
      <c r="B23" s="80">
        <v>2100</v>
      </c>
      <c r="C23" s="80">
        <v>2100</v>
      </c>
      <c r="D23" s="79">
        <f t="shared" si="2"/>
        <v>0</v>
      </c>
      <c r="E23" s="7">
        <f t="shared" si="3"/>
        <v>0</v>
      </c>
    </row>
    <row r="24" spans="1:5" x14ac:dyDescent="0.2">
      <c r="A24" s="54" t="s">
        <v>15</v>
      </c>
      <c r="B24" s="80">
        <v>1500</v>
      </c>
      <c r="C24" s="80">
        <v>1500</v>
      </c>
      <c r="D24" s="79">
        <f t="shared" si="2"/>
        <v>0</v>
      </c>
      <c r="E24" s="7">
        <f t="shared" si="3"/>
        <v>0</v>
      </c>
    </row>
    <row r="25" spans="1:5" x14ac:dyDescent="0.2">
      <c r="A25" s="54" t="s">
        <v>16</v>
      </c>
      <c r="B25" s="80">
        <v>2700</v>
      </c>
      <c r="C25" s="80">
        <v>2700</v>
      </c>
      <c r="D25" s="79">
        <f t="shared" si="2"/>
        <v>0</v>
      </c>
      <c r="E25" s="7">
        <f t="shared" si="3"/>
        <v>0</v>
      </c>
    </row>
    <row r="26" spans="1:5" x14ac:dyDescent="0.2">
      <c r="A26" s="54" t="s">
        <v>565</v>
      </c>
      <c r="B26" s="80">
        <v>500</v>
      </c>
      <c r="C26" s="80">
        <v>500</v>
      </c>
      <c r="D26" s="79">
        <f t="shared" si="2"/>
        <v>0</v>
      </c>
      <c r="E26" s="7">
        <f t="shared" si="3"/>
        <v>0</v>
      </c>
    </row>
    <row r="27" spans="1:5" ht="13.5" thickBot="1" x14ac:dyDescent="0.25">
      <c r="A27" s="55" t="s">
        <v>597</v>
      </c>
      <c r="B27" s="80">
        <v>4800</v>
      </c>
      <c r="C27" s="80">
        <v>4800</v>
      </c>
      <c r="D27" s="79">
        <f t="shared" si="2"/>
        <v>0</v>
      </c>
      <c r="E27" s="7">
        <f t="shared" si="3"/>
        <v>0</v>
      </c>
    </row>
    <row r="28" spans="1:5" x14ac:dyDescent="0.2">
      <c r="A28" s="53" t="s">
        <v>17</v>
      </c>
      <c r="B28" s="81">
        <f>SUM(B19:B27)</f>
        <v>37800</v>
      </c>
      <c r="C28" s="81">
        <f>SUM(C19:C27)</f>
        <v>37800</v>
      </c>
      <c r="D28" s="81">
        <f t="shared" si="2"/>
        <v>0</v>
      </c>
      <c r="E28" s="8">
        <f>(B28-C28)/C28</f>
        <v>0</v>
      </c>
    </row>
    <row r="29" spans="1:5" x14ac:dyDescent="0.2">
      <c r="A29" s="56"/>
      <c r="B29" s="82"/>
      <c r="C29" s="82"/>
      <c r="D29" s="82"/>
      <c r="E29" s="9"/>
    </row>
    <row r="30" spans="1:5" x14ac:dyDescent="0.2">
      <c r="A30" s="53" t="s">
        <v>587</v>
      </c>
      <c r="B30" s="79"/>
      <c r="C30" s="79"/>
      <c r="D30" s="79"/>
      <c r="E30" s="7"/>
    </row>
    <row r="31" spans="1:5" x14ac:dyDescent="0.2">
      <c r="A31" s="54" t="s">
        <v>18</v>
      </c>
      <c r="B31" s="80">
        <v>550</v>
      </c>
      <c r="C31" s="80">
        <v>550</v>
      </c>
      <c r="D31" s="79">
        <f t="shared" ref="D31:D40" si="4">B31-C31</f>
        <v>0</v>
      </c>
      <c r="E31" s="7">
        <f t="shared" ref="E31:E39" si="5">D31/C31</f>
        <v>0</v>
      </c>
    </row>
    <row r="32" spans="1:5" x14ac:dyDescent="0.2">
      <c r="A32" s="54" t="s">
        <v>19</v>
      </c>
      <c r="B32" s="80">
        <v>7300</v>
      </c>
      <c r="C32" s="80">
        <v>7300</v>
      </c>
      <c r="D32" s="79">
        <f t="shared" si="4"/>
        <v>0</v>
      </c>
      <c r="E32" s="7">
        <f t="shared" si="5"/>
        <v>0</v>
      </c>
    </row>
    <row r="33" spans="1:5" x14ac:dyDescent="0.2">
      <c r="A33" s="54" t="s">
        <v>20</v>
      </c>
      <c r="B33" s="80">
        <v>8400</v>
      </c>
      <c r="C33" s="80">
        <v>8400</v>
      </c>
      <c r="D33" s="79">
        <f t="shared" si="4"/>
        <v>0</v>
      </c>
      <c r="E33" s="7">
        <f t="shared" si="5"/>
        <v>0</v>
      </c>
    </row>
    <row r="34" spans="1:5" x14ac:dyDescent="0.2">
      <c r="A34" s="54" t="s">
        <v>21</v>
      </c>
      <c r="B34" s="80">
        <v>4000</v>
      </c>
      <c r="C34" s="80">
        <v>3500</v>
      </c>
      <c r="D34" s="79">
        <f t="shared" si="4"/>
        <v>500</v>
      </c>
      <c r="E34" s="7">
        <f t="shared" si="5"/>
        <v>0.14285714285714285</v>
      </c>
    </row>
    <row r="35" spans="1:5" x14ac:dyDescent="0.2">
      <c r="A35" s="54" t="s">
        <v>22</v>
      </c>
      <c r="B35" s="80">
        <v>500</v>
      </c>
      <c r="C35" s="80">
        <v>900</v>
      </c>
      <c r="D35" s="79">
        <f t="shared" si="4"/>
        <v>-400</v>
      </c>
      <c r="E35" s="7">
        <f t="shared" si="5"/>
        <v>-0.44444444444444442</v>
      </c>
    </row>
    <row r="36" spans="1:5" x14ac:dyDescent="0.2">
      <c r="A36" s="54" t="s">
        <v>23</v>
      </c>
      <c r="B36" s="80">
        <v>2000</v>
      </c>
      <c r="C36" s="80">
        <v>1500</v>
      </c>
      <c r="D36" s="79">
        <f t="shared" si="4"/>
        <v>500</v>
      </c>
      <c r="E36" s="7">
        <f t="shared" si="5"/>
        <v>0.33333333333333331</v>
      </c>
    </row>
    <row r="37" spans="1:5" x14ac:dyDescent="0.2">
      <c r="A37" s="54" t="s">
        <v>24</v>
      </c>
      <c r="B37" s="80">
        <v>6000</v>
      </c>
      <c r="C37" s="80">
        <v>3500</v>
      </c>
      <c r="D37" s="79">
        <f t="shared" si="4"/>
        <v>2500</v>
      </c>
      <c r="E37" s="7">
        <f t="shared" si="5"/>
        <v>0.7142857142857143</v>
      </c>
    </row>
    <row r="38" spans="1:5" x14ac:dyDescent="0.2">
      <c r="A38" s="54" t="s">
        <v>566</v>
      </c>
      <c r="B38" s="80">
        <v>1000</v>
      </c>
      <c r="C38" s="80">
        <v>500</v>
      </c>
      <c r="D38" s="79">
        <f t="shared" si="4"/>
        <v>500</v>
      </c>
      <c r="E38" s="7">
        <f t="shared" si="5"/>
        <v>1</v>
      </c>
    </row>
    <row r="39" spans="1:5" ht="13.5" thickBot="1" x14ac:dyDescent="0.25">
      <c r="A39" s="55" t="s">
        <v>598</v>
      </c>
      <c r="B39" s="80">
        <v>4800</v>
      </c>
      <c r="C39" s="80">
        <v>4800</v>
      </c>
      <c r="D39" s="79">
        <f t="shared" si="4"/>
        <v>0</v>
      </c>
      <c r="E39" s="7">
        <f t="shared" si="5"/>
        <v>0</v>
      </c>
    </row>
    <row r="40" spans="1:5" x14ac:dyDescent="0.2">
      <c r="A40" s="53" t="s">
        <v>586</v>
      </c>
      <c r="B40" s="81">
        <f>SUM(B31:B39)</f>
        <v>34550</v>
      </c>
      <c r="C40" s="81">
        <f>SUM(C31:C39)</f>
        <v>30950</v>
      </c>
      <c r="D40" s="81">
        <f t="shared" si="4"/>
        <v>3600</v>
      </c>
      <c r="E40" s="8">
        <f>(B40-C40)/C40</f>
        <v>0.11631663974151858</v>
      </c>
    </row>
    <row r="41" spans="1:5" x14ac:dyDescent="0.2">
      <c r="A41" s="56"/>
      <c r="B41" s="82"/>
      <c r="C41" s="82"/>
      <c r="D41" s="82"/>
      <c r="E41" s="9"/>
    </row>
    <row r="42" spans="1:5" x14ac:dyDescent="0.2">
      <c r="A42" s="53" t="s">
        <v>25</v>
      </c>
      <c r="B42" s="79"/>
      <c r="C42" s="79"/>
      <c r="D42" s="79"/>
      <c r="E42" s="7"/>
    </row>
    <row r="43" spans="1:5" x14ac:dyDescent="0.2">
      <c r="A43" s="54" t="s">
        <v>26</v>
      </c>
      <c r="B43" s="80">
        <v>0</v>
      </c>
      <c r="C43" s="80">
        <v>150</v>
      </c>
      <c r="D43" s="79">
        <f t="shared" ref="D43:D52" si="6">B43-C43</f>
        <v>-150</v>
      </c>
      <c r="E43" s="7">
        <f t="shared" ref="E43:E51" si="7">D43/C43</f>
        <v>-1</v>
      </c>
    </row>
    <row r="44" spans="1:5" x14ac:dyDescent="0.2">
      <c r="A44" s="54" t="s">
        <v>27</v>
      </c>
      <c r="B44" s="80">
        <v>5300</v>
      </c>
      <c r="C44" s="80">
        <v>5300</v>
      </c>
      <c r="D44" s="79">
        <f t="shared" si="6"/>
        <v>0</v>
      </c>
      <c r="E44" s="7">
        <f t="shared" si="7"/>
        <v>0</v>
      </c>
    </row>
    <row r="45" spans="1:5" x14ac:dyDescent="0.2">
      <c r="A45" s="54" t="s">
        <v>28</v>
      </c>
      <c r="B45" s="80">
        <v>6625</v>
      </c>
      <c r="C45" s="80">
        <v>6625</v>
      </c>
      <c r="D45" s="79">
        <f t="shared" si="6"/>
        <v>0</v>
      </c>
      <c r="E45" s="7">
        <f t="shared" si="7"/>
        <v>0</v>
      </c>
    </row>
    <row r="46" spans="1:5" x14ac:dyDescent="0.2">
      <c r="A46" s="54" t="s">
        <v>29</v>
      </c>
      <c r="B46" s="80">
        <v>0</v>
      </c>
      <c r="C46" s="80">
        <v>1200</v>
      </c>
      <c r="D46" s="79">
        <f t="shared" si="6"/>
        <v>-1200</v>
      </c>
      <c r="E46" s="7">
        <f t="shared" si="7"/>
        <v>-1</v>
      </c>
    </row>
    <row r="47" spans="1:5" x14ac:dyDescent="0.2">
      <c r="A47" s="54" t="s">
        <v>30</v>
      </c>
      <c r="B47" s="80">
        <v>3500</v>
      </c>
      <c r="C47" s="80">
        <v>3500</v>
      </c>
      <c r="D47" s="79">
        <f t="shared" si="6"/>
        <v>0</v>
      </c>
      <c r="E47" s="7">
        <f t="shared" si="7"/>
        <v>0</v>
      </c>
    </row>
    <row r="48" spans="1:5" x14ac:dyDescent="0.2">
      <c r="A48" s="54" t="s">
        <v>31</v>
      </c>
      <c r="B48" s="80">
        <v>1000</v>
      </c>
      <c r="C48" s="80">
        <v>1000</v>
      </c>
      <c r="D48" s="79">
        <f t="shared" si="6"/>
        <v>0</v>
      </c>
      <c r="E48" s="7">
        <f t="shared" si="7"/>
        <v>0</v>
      </c>
    </row>
    <row r="49" spans="1:5" x14ac:dyDescent="0.2">
      <c r="A49" s="54" t="s">
        <v>32</v>
      </c>
      <c r="B49" s="80">
        <v>5250</v>
      </c>
      <c r="C49" s="80">
        <v>5000</v>
      </c>
      <c r="D49" s="79">
        <f t="shared" si="6"/>
        <v>250</v>
      </c>
      <c r="E49" s="7">
        <f t="shared" si="7"/>
        <v>0.05</v>
      </c>
    </row>
    <row r="50" spans="1:5" x14ac:dyDescent="0.2">
      <c r="A50" s="54" t="s">
        <v>567</v>
      </c>
      <c r="B50" s="80">
        <v>1200</v>
      </c>
      <c r="C50" s="80">
        <v>1200</v>
      </c>
      <c r="D50" s="79">
        <f t="shared" si="6"/>
        <v>0</v>
      </c>
      <c r="E50" s="7">
        <f t="shared" si="7"/>
        <v>0</v>
      </c>
    </row>
    <row r="51" spans="1:5" ht="13.5" thickBot="1" x14ac:dyDescent="0.25">
      <c r="A51" s="55" t="s">
        <v>599</v>
      </c>
      <c r="B51" s="80">
        <v>4800</v>
      </c>
      <c r="C51" s="80">
        <v>4800</v>
      </c>
      <c r="D51" s="79">
        <f t="shared" si="6"/>
        <v>0</v>
      </c>
      <c r="E51" s="7">
        <f t="shared" si="7"/>
        <v>0</v>
      </c>
    </row>
    <row r="52" spans="1:5" x14ac:dyDescent="0.2">
      <c r="A52" s="53" t="s">
        <v>33</v>
      </c>
      <c r="B52" s="81">
        <f>SUM(B43:B51)</f>
        <v>27675</v>
      </c>
      <c r="C52" s="81">
        <f>SUM(C43:C51)</f>
        <v>28775</v>
      </c>
      <c r="D52" s="81">
        <f t="shared" si="6"/>
        <v>-1100</v>
      </c>
      <c r="E52" s="8">
        <f>(B52-C52)/C52</f>
        <v>-3.8227628149435276E-2</v>
      </c>
    </row>
    <row r="53" spans="1:5" x14ac:dyDescent="0.2">
      <c r="A53" s="56"/>
      <c r="B53" s="82"/>
      <c r="C53" s="82"/>
      <c r="D53" s="82"/>
      <c r="E53" s="9"/>
    </row>
    <row r="54" spans="1:5" x14ac:dyDescent="0.2">
      <c r="A54" s="53" t="s">
        <v>34</v>
      </c>
      <c r="B54" s="79"/>
      <c r="C54" s="79"/>
      <c r="D54" s="79"/>
      <c r="E54" s="7"/>
    </row>
    <row r="55" spans="1:5" x14ac:dyDescent="0.2">
      <c r="A55" s="54" t="s">
        <v>35</v>
      </c>
      <c r="B55" s="80">
        <v>500</v>
      </c>
      <c r="C55" s="80">
        <v>500</v>
      </c>
      <c r="D55" s="79">
        <f t="shared" ref="D55:D64" si="8">B55-C55</f>
        <v>0</v>
      </c>
      <c r="E55" s="7">
        <f t="shared" ref="E55:E63" si="9">D55/C55</f>
        <v>0</v>
      </c>
    </row>
    <row r="56" spans="1:5" x14ac:dyDescent="0.2">
      <c r="A56" s="54" t="s">
        <v>36</v>
      </c>
      <c r="B56" s="80">
        <v>7300</v>
      </c>
      <c r="C56" s="80">
        <v>7300</v>
      </c>
      <c r="D56" s="79">
        <f t="shared" si="8"/>
        <v>0</v>
      </c>
      <c r="E56" s="7">
        <f t="shared" si="9"/>
        <v>0</v>
      </c>
    </row>
    <row r="57" spans="1:5" x14ac:dyDescent="0.2">
      <c r="A57" s="54" t="s">
        <v>37</v>
      </c>
      <c r="B57" s="80">
        <v>12000</v>
      </c>
      <c r="C57" s="80">
        <v>12000</v>
      </c>
      <c r="D57" s="79">
        <f t="shared" si="8"/>
        <v>0</v>
      </c>
      <c r="E57" s="7">
        <f t="shared" si="9"/>
        <v>0</v>
      </c>
    </row>
    <row r="58" spans="1:5" x14ac:dyDescent="0.2">
      <c r="A58" s="54" t="s">
        <v>38</v>
      </c>
      <c r="B58" s="80">
        <v>6000</v>
      </c>
      <c r="C58" s="80">
        <v>6000</v>
      </c>
      <c r="D58" s="79">
        <f t="shared" si="8"/>
        <v>0</v>
      </c>
      <c r="E58" s="7">
        <f t="shared" si="9"/>
        <v>0</v>
      </c>
    </row>
    <row r="59" spans="1:5" x14ac:dyDescent="0.2">
      <c r="A59" s="54" t="s">
        <v>39</v>
      </c>
      <c r="B59" s="80">
        <v>5000</v>
      </c>
      <c r="C59" s="80">
        <v>5000</v>
      </c>
      <c r="D59" s="79">
        <f t="shared" si="8"/>
        <v>0</v>
      </c>
      <c r="E59" s="7">
        <f t="shared" si="9"/>
        <v>0</v>
      </c>
    </row>
    <row r="60" spans="1:5" x14ac:dyDescent="0.2">
      <c r="A60" s="54" t="s">
        <v>40</v>
      </c>
      <c r="B60" s="80">
        <v>500</v>
      </c>
      <c r="C60" s="80">
        <v>500</v>
      </c>
      <c r="D60" s="79">
        <f t="shared" si="8"/>
        <v>0</v>
      </c>
      <c r="E60" s="7">
        <f t="shared" si="9"/>
        <v>0</v>
      </c>
    </row>
    <row r="61" spans="1:5" x14ac:dyDescent="0.2">
      <c r="A61" s="54" t="s">
        <v>41</v>
      </c>
      <c r="B61" s="80">
        <v>4700</v>
      </c>
      <c r="C61" s="80">
        <v>4700</v>
      </c>
      <c r="D61" s="79">
        <f t="shared" si="8"/>
        <v>0</v>
      </c>
      <c r="E61" s="7">
        <f t="shared" si="9"/>
        <v>0</v>
      </c>
    </row>
    <row r="62" spans="1:5" x14ac:dyDescent="0.2">
      <c r="A62" s="54" t="s">
        <v>568</v>
      </c>
      <c r="B62" s="80">
        <f>500*1.07</f>
        <v>535</v>
      </c>
      <c r="C62" s="80">
        <f>500*1.07</f>
        <v>535</v>
      </c>
      <c r="D62" s="79">
        <f t="shared" si="8"/>
        <v>0</v>
      </c>
      <c r="E62" s="7">
        <f t="shared" si="9"/>
        <v>0</v>
      </c>
    </row>
    <row r="63" spans="1:5" ht="13.5" thickBot="1" x14ac:dyDescent="0.25">
      <c r="A63" s="55" t="s">
        <v>600</v>
      </c>
      <c r="B63" s="80">
        <v>4800</v>
      </c>
      <c r="C63" s="80">
        <v>4800</v>
      </c>
      <c r="D63" s="79">
        <f t="shared" si="8"/>
        <v>0</v>
      </c>
      <c r="E63" s="7">
        <f t="shared" si="9"/>
        <v>0</v>
      </c>
    </row>
    <row r="64" spans="1:5" x14ac:dyDescent="0.2">
      <c r="A64" s="53" t="s">
        <v>42</v>
      </c>
      <c r="B64" s="81">
        <f>SUM(B55:B63)</f>
        <v>41335</v>
      </c>
      <c r="C64" s="81">
        <f>SUM(C55:C63)</f>
        <v>41335</v>
      </c>
      <c r="D64" s="81">
        <f t="shared" si="8"/>
        <v>0</v>
      </c>
      <c r="E64" s="8">
        <f>(B64-C64)/C64</f>
        <v>0</v>
      </c>
    </row>
    <row r="65" spans="1:5" x14ac:dyDescent="0.2">
      <c r="A65" s="56"/>
      <c r="B65" s="82"/>
      <c r="C65" s="82"/>
      <c r="D65" s="82"/>
      <c r="E65" s="9"/>
    </row>
    <row r="66" spans="1:5" x14ac:dyDescent="0.2">
      <c r="A66" s="53" t="s">
        <v>43</v>
      </c>
      <c r="B66" s="79"/>
      <c r="C66" s="79"/>
      <c r="D66" s="79"/>
      <c r="E66" s="7"/>
    </row>
    <row r="67" spans="1:5" x14ac:dyDescent="0.2">
      <c r="A67" s="54" t="s">
        <v>44</v>
      </c>
      <c r="B67" s="80">
        <v>500</v>
      </c>
      <c r="C67" s="80">
        <v>500</v>
      </c>
      <c r="D67" s="79">
        <f t="shared" ref="D67:D76" si="10">B67-C67</f>
        <v>0</v>
      </c>
      <c r="E67" s="7">
        <f t="shared" ref="E67:E75" si="11">D67/C67</f>
        <v>0</v>
      </c>
    </row>
    <row r="68" spans="1:5" x14ac:dyDescent="0.2">
      <c r="A68" s="54" t="s">
        <v>45</v>
      </c>
      <c r="B68" s="80">
        <v>7000</v>
      </c>
      <c r="C68" s="80">
        <v>8300</v>
      </c>
      <c r="D68" s="79">
        <f t="shared" si="10"/>
        <v>-1300</v>
      </c>
      <c r="E68" s="7">
        <f t="shared" si="11"/>
        <v>-0.15662650602409639</v>
      </c>
    </row>
    <row r="69" spans="1:5" x14ac:dyDescent="0.2">
      <c r="A69" s="54" t="s">
        <v>46</v>
      </c>
      <c r="B69" s="80">
        <v>10000</v>
      </c>
      <c r="C69" s="80">
        <v>10000</v>
      </c>
      <c r="D69" s="79">
        <f t="shared" si="10"/>
        <v>0</v>
      </c>
      <c r="E69" s="7">
        <f t="shared" si="11"/>
        <v>0</v>
      </c>
    </row>
    <row r="70" spans="1:5" x14ac:dyDescent="0.2">
      <c r="A70" s="54" t="s">
        <v>47</v>
      </c>
      <c r="B70" s="80">
        <v>4000</v>
      </c>
      <c r="C70" s="80">
        <v>3800</v>
      </c>
      <c r="D70" s="79">
        <f t="shared" si="10"/>
        <v>200</v>
      </c>
      <c r="E70" s="7">
        <f t="shared" si="11"/>
        <v>5.2631578947368418E-2</v>
      </c>
    </row>
    <row r="71" spans="1:5" x14ac:dyDescent="0.2">
      <c r="A71" s="54" t="s">
        <v>48</v>
      </c>
      <c r="B71" s="80">
        <v>3500</v>
      </c>
      <c r="C71" s="80">
        <v>3500</v>
      </c>
      <c r="D71" s="79">
        <f t="shared" si="10"/>
        <v>0</v>
      </c>
      <c r="E71" s="7">
        <f t="shared" si="11"/>
        <v>0</v>
      </c>
    </row>
    <row r="72" spans="1:5" x14ac:dyDescent="0.2">
      <c r="A72" s="54" t="s">
        <v>49</v>
      </c>
      <c r="B72" s="80">
        <v>3000</v>
      </c>
      <c r="C72" s="80">
        <v>2700</v>
      </c>
      <c r="D72" s="79">
        <f t="shared" si="10"/>
        <v>300</v>
      </c>
      <c r="E72" s="7">
        <f t="shared" si="11"/>
        <v>0.1111111111111111</v>
      </c>
    </row>
    <row r="73" spans="1:5" x14ac:dyDescent="0.2">
      <c r="A73" s="54" t="s">
        <v>50</v>
      </c>
      <c r="B73" s="80">
        <v>3700</v>
      </c>
      <c r="C73" s="80">
        <v>3700</v>
      </c>
      <c r="D73" s="79">
        <f t="shared" si="10"/>
        <v>0</v>
      </c>
      <c r="E73" s="7">
        <f t="shared" si="11"/>
        <v>0</v>
      </c>
    </row>
    <row r="74" spans="1:5" x14ac:dyDescent="0.2">
      <c r="A74" s="54" t="s">
        <v>569</v>
      </c>
      <c r="B74" s="80">
        <v>2500</v>
      </c>
      <c r="C74" s="80">
        <f>1800*1.07</f>
        <v>1926</v>
      </c>
      <c r="D74" s="79">
        <f t="shared" si="10"/>
        <v>574</v>
      </c>
      <c r="E74" s="7">
        <f t="shared" si="11"/>
        <v>0.29802699896157842</v>
      </c>
    </row>
    <row r="75" spans="1:5" ht="13.5" thickBot="1" x14ac:dyDescent="0.25">
      <c r="A75" s="55" t="s">
        <v>602</v>
      </c>
      <c r="B75" s="80">
        <v>4800</v>
      </c>
      <c r="C75" s="80">
        <v>4800</v>
      </c>
      <c r="D75" s="79">
        <f t="shared" si="10"/>
        <v>0</v>
      </c>
      <c r="E75" s="7">
        <f t="shared" si="11"/>
        <v>0</v>
      </c>
    </row>
    <row r="76" spans="1:5" x14ac:dyDescent="0.2">
      <c r="A76" s="53" t="s">
        <v>51</v>
      </c>
      <c r="B76" s="81">
        <f>SUM(B67:B75)</f>
        <v>39000</v>
      </c>
      <c r="C76" s="81">
        <f>SUM(C67:C75)</f>
        <v>39226</v>
      </c>
      <c r="D76" s="81">
        <f t="shared" si="10"/>
        <v>-226</v>
      </c>
      <c r="E76" s="8">
        <f>(B76-C76)/C76</f>
        <v>-5.7614847295161375E-3</v>
      </c>
    </row>
    <row r="77" spans="1:5" x14ac:dyDescent="0.2">
      <c r="A77" s="56"/>
      <c r="B77" s="82"/>
      <c r="C77" s="82"/>
      <c r="D77" s="82"/>
      <c r="E77" s="9"/>
    </row>
    <row r="78" spans="1:5" x14ac:dyDescent="0.2">
      <c r="A78" s="53" t="s">
        <v>707</v>
      </c>
      <c r="B78" s="79"/>
      <c r="C78" s="79"/>
      <c r="D78" s="79"/>
      <c r="E78" s="7"/>
    </row>
    <row r="79" spans="1:5" x14ac:dyDescent="0.2">
      <c r="A79" s="54" t="s">
        <v>571</v>
      </c>
      <c r="B79" s="80">
        <v>0</v>
      </c>
      <c r="C79" s="80">
        <v>0</v>
      </c>
      <c r="D79" s="79">
        <f t="shared" ref="D79:D88" si="12">B79-C79</f>
        <v>0</v>
      </c>
      <c r="E79" s="7" t="e">
        <f t="shared" ref="E79:E87" si="13">D79/C79</f>
        <v>#DIV/0!</v>
      </c>
    </row>
    <row r="80" spans="1:5" x14ac:dyDescent="0.2">
      <c r="A80" s="54" t="s">
        <v>52</v>
      </c>
      <c r="B80" s="80">
        <v>7300</v>
      </c>
      <c r="C80" s="80">
        <v>6800</v>
      </c>
      <c r="D80" s="79">
        <f t="shared" si="12"/>
        <v>500</v>
      </c>
      <c r="E80" s="7">
        <f t="shared" si="13"/>
        <v>7.3529411764705885E-2</v>
      </c>
    </row>
    <row r="81" spans="1:5" x14ac:dyDescent="0.2">
      <c r="A81" s="54" t="s">
        <v>53</v>
      </c>
      <c r="B81" s="80">
        <v>9000</v>
      </c>
      <c r="C81" s="80">
        <v>8000</v>
      </c>
      <c r="D81" s="79">
        <f t="shared" si="12"/>
        <v>1000</v>
      </c>
      <c r="E81" s="7">
        <f t="shared" si="13"/>
        <v>0.125</v>
      </c>
    </row>
    <row r="82" spans="1:5" x14ac:dyDescent="0.2">
      <c r="A82" s="54" t="s">
        <v>54</v>
      </c>
      <c r="B82" s="80">
        <v>6000</v>
      </c>
      <c r="C82" s="80">
        <v>6000</v>
      </c>
      <c r="D82" s="79">
        <f t="shared" si="12"/>
        <v>0</v>
      </c>
      <c r="E82" s="7">
        <f t="shared" si="13"/>
        <v>0</v>
      </c>
    </row>
    <row r="83" spans="1:5" x14ac:dyDescent="0.2">
      <c r="A83" s="54" t="s">
        <v>55</v>
      </c>
      <c r="B83" s="80">
        <v>4500</v>
      </c>
      <c r="C83" s="80">
        <v>4500</v>
      </c>
      <c r="D83" s="79">
        <f t="shared" si="12"/>
        <v>0</v>
      </c>
      <c r="E83" s="7">
        <f t="shared" si="13"/>
        <v>0</v>
      </c>
    </row>
    <row r="84" spans="1:5" x14ac:dyDescent="0.2">
      <c r="A84" s="54" t="s">
        <v>56</v>
      </c>
      <c r="B84" s="80">
        <v>1000</v>
      </c>
      <c r="C84" s="80">
        <v>1000</v>
      </c>
      <c r="D84" s="79">
        <f t="shared" si="12"/>
        <v>0</v>
      </c>
      <c r="E84" s="7">
        <f t="shared" si="13"/>
        <v>0</v>
      </c>
    </row>
    <row r="85" spans="1:5" x14ac:dyDescent="0.2">
      <c r="A85" s="54" t="s">
        <v>57</v>
      </c>
      <c r="B85" s="80">
        <v>4500</v>
      </c>
      <c r="C85" s="80">
        <v>3500</v>
      </c>
      <c r="D85" s="79">
        <f t="shared" si="12"/>
        <v>1000</v>
      </c>
      <c r="E85" s="7">
        <f t="shared" si="13"/>
        <v>0.2857142857142857</v>
      </c>
    </row>
    <row r="86" spans="1:5" x14ac:dyDescent="0.2">
      <c r="A86" s="54" t="s">
        <v>570</v>
      </c>
      <c r="B86" s="80">
        <v>900</v>
      </c>
      <c r="C86" s="80">
        <v>900</v>
      </c>
      <c r="D86" s="79">
        <f t="shared" si="12"/>
        <v>0</v>
      </c>
      <c r="E86" s="7">
        <f t="shared" si="13"/>
        <v>0</v>
      </c>
    </row>
    <row r="87" spans="1:5" ht="13.5" thickBot="1" x14ac:dyDescent="0.25">
      <c r="A87" s="55" t="s">
        <v>601</v>
      </c>
      <c r="B87" s="80">
        <v>4800</v>
      </c>
      <c r="C87" s="80">
        <v>4800</v>
      </c>
      <c r="D87" s="79">
        <f t="shared" si="12"/>
        <v>0</v>
      </c>
      <c r="E87" s="7">
        <f t="shared" si="13"/>
        <v>0</v>
      </c>
    </row>
    <row r="88" spans="1:5" x14ac:dyDescent="0.2">
      <c r="A88" s="53" t="s">
        <v>58</v>
      </c>
      <c r="B88" s="81">
        <f>SUM(B79:B87)</f>
        <v>38000</v>
      </c>
      <c r="C88" s="81">
        <f>SUM(C79:C87)</f>
        <v>35500</v>
      </c>
      <c r="D88" s="81">
        <f t="shared" si="12"/>
        <v>2500</v>
      </c>
      <c r="E88" s="8">
        <f>(B88-C88)/C88</f>
        <v>7.0422535211267609E-2</v>
      </c>
    </row>
    <row r="89" spans="1:5" x14ac:dyDescent="0.2">
      <c r="A89" s="56"/>
      <c r="B89" s="82"/>
      <c r="C89" s="82"/>
      <c r="D89" s="82"/>
      <c r="E89" s="9"/>
    </row>
    <row r="90" spans="1:5" x14ac:dyDescent="0.2">
      <c r="A90" s="53" t="s">
        <v>59</v>
      </c>
      <c r="B90" s="80"/>
      <c r="C90" s="80"/>
      <c r="D90" s="79"/>
      <c r="E90" s="7"/>
    </row>
    <row r="91" spans="1:5" ht="13.5" thickBot="1" x14ac:dyDescent="0.25">
      <c r="A91" s="55" t="s">
        <v>60</v>
      </c>
      <c r="B91" s="80">
        <v>604184</v>
      </c>
      <c r="C91" s="80">
        <f>84620*7</f>
        <v>592340</v>
      </c>
      <c r="D91" s="79">
        <f>B91-C91</f>
        <v>11844</v>
      </c>
      <c r="E91" s="7">
        <f>D91/C91</f>
        <v>1.9995272985109905E-2</v>
      </c>
    </row>
    <row r="92" spans="1:5" x14ac:dyDescent="0.2">
      <c r="A92" s="53" t="s">
        <v>61</v>
      </c>
      <c r="B92" s="81">
        <f>SUM(B91:B91)</f>
        <v>604184</v>
      </c>
      <c r="C92" s="81">
        <f>SUM(C91:C91)</f>
        <v>592340</v>
      </c>
      <c r="D92" s="81">
        <f>B92-C92</f>
        <v>11844</v>
      </c>
      <c r="E92" s="8">
        <f>(B92-C92)/C92</f>
        <v>1.9995272985109905E-2</v>
      </c>
    </row>
    <row r="93" spans="1:5" x14ac:dyDescent="0.2">
      <c r="A93" s="56"/>
      <c r="B93" s="82"/>
      <c r="C93" s="82"/>
      <c r="D93" s="82"/>
      <c r="E93" s="9"/>
    </row>
    <row r="94" spans="1:5" x14ac:dyDescent="0.2">
      <c r="A94" s="53" t="s">
        <v>605</v>
      </c>
      <c r="B94" s="79"/>
      <c r="C94" s="79"/>
      <c r="D94" s="79"/>
      <c r="E94" s="7"/>
    </row>
    <row r="95" spans="1:5" x14ac:dyDescent="0.2">
      <c r="A95" s="54" t="s">
        <v>62</v>
      </c>
      <c r="B95" s="80"/>
      <c r="C95" s="80"/>
      <c r="D95" s="79">
        <f t="shared" ref="D95:D103" si="14">B95-C95</f>
        <v>0</v>
      </c>
      <c r="E95" s="7" t="e">
        <f t="shared" ref="E95:E102" si="15">D95/C95</f>
        <v>#DIV/0!</v>
      </c>
    </row>
    <row r="96" spans="1:5" x14ac:dyDescent="0.2">
      <c r="A96" s="54" t="s">
        <v>63</v>
      </c>
      <c r="B96" s="80">
        <v>36425</v>
      </c>
      <c r="C96" s="80">
        <v>35024</v>
      </c>
      <c r="D96" s="79">
        <f t="shared" si="14"/>
        <v>1401</v>
      </c>
      <c r="E96" s="7">
        <f t="shared" si="15"/>
        <v>4.0001142074006395E-2</v>
      </c>
    </row>
    <row r="97" spans="1:5" x14ac:dyDescent="0.2">
      <c r="A97" s="54" t="s">
        <v>64</v>
      </c>
      <c r="B97" s="80">
        <v>36425</v>
      </c>
      <c r="C97" s="80">
        <v>35024</v>
      </c>
      <c r="D97" s="79">
        <f t="shared" si="14"/>
        <v>1401</v>
      </c>
      <c r="E97" s="7">
        <f t="shared" si="15"/>
        <v>4.0001142074006395E-2</v>
      </c>
    </row>
    <row r="98" spans="1:5" x14ac:dyDescent="0.2">
      <c r="A98" s="54" t="s">
        <v>65</v>
      </c>
      <c r="B98" s="80">
        <v>36425</v>
      </c>
      <c r="C98" s="80">
        <v>35024</v>
      </c>
      <c r="D98" s="79">
        <f t="shared" si="14"/>
        <v>1401</v>
      </c>
      <c r="E98" s="7">
        <f t="shared" si="15"/>
        <v>4.0001142074006395E-2</v>
      </c>
    </row>
    <row r="99" spans="1:5" x14ac:dyDescent="0.2">
      <c r="A99" s="54" t="s">
        <v>66</v>
      </c>
      <c r="B99" s="80">
        <v>36425</v>
      </c>
      <c r="C99" s="80">
        <v>35024</v>
      </c>
      <c r="D99" s="79">
        <f t="shared" si="14"/>
        <v>1401</v>
      </c>
      <c r="E99" s="7">
        <f t="shared" si="15"/>
        <v>4.0001142074006395E-2</v>
      </c>
    </row>
    <row r="100" spans="1:5" x14ac:dyDescent="0.2">
      <c r="A100" s="54" t="s">
        <v>67</v>
      </c>
      <c r="B100" s="80">
        <v>36425</v>
      </c>
      <c r="C100" s="80">
        <v>35024</v>
      </c>
      <c r="D100" s="79">
        <f t="shared" si="14"/>
        <v>1401</v>
      </c>
      <c r="E100" s="7">
        <f t="shared" si="15"/>
        <v>4.0001142074006395E-2</v>
      </c>
    </row>
    <row r="101" spans="1:5" x14ac:dyDescent="0.2">
      <c r="A101" s="54" t="s">
        <v>68</v>
      </c>
      <c r="B101" s="80">
        <v>36425</v>
      </c>
      <c r="C101" s="80">
        <v>35024</v>
      </c>
      <c r="D101" s="79">
        <f t="shared" si="14"/>
        <v>1401</v>
      </c>
      <c r="E101" s="7">
        <f t="shared" si="15"/>
        <v>4.0001142074006395E-2</v>
      </c>
    </row>
    <row r="102" spans="1:5" ht="13.5" thickBot="1" x14ac:dyDescent="0.25">
      <c r="A102" s="55" t="s">
        <v>69</v>
      </c>
      <c r="B102" s="80">
        <v>36425</v>
      </c>
      <c r="C102" s="80">
        <v>35024</v>
      </c>
      <c r="D102" s="79">
        <f t="shared" si="14"/>
        <v>1401</v>
      </c>
      <c r="E102" s="7">
        <f t="shared" si="15"/>
        <v>4.0001142074006395E-2</v>
      </c>
    </row>
    <row r="103" spans="1:5" x14ac:dyDescent="0.2">
      <c r="A103" s="53" t="s">
        <v>70</v>
      </c>
      <c r="B103" s="81">
        <f>SUM(B95:B102)</f>
        <v>254975</v>
      </c>
      <c r="C103" s="81">
        <f>SUM(C95:C102)</f>
        <v>245168</v>
      </c>
      <c r="D103" s="81">
        <f t="shared" si="14"/>
        <v>9807</v>
      </c>
      <c r="E103" s="8">
        <f>(B103-C103)/C103</f>
        <v>4.0001142074006395E-2</v>
      </c>
    </row>
    <row r="104" spans="1:5" x14ac:dyDescent="0.2">
      <c r="A104" s="56"/>
      <c r="B104" s="82"/>
      <c r="C104" s="82"/>
      <c r="D104" s="82"/>
      <c r="E104" s="9"/>
    </row>
    <row r="105" spans="1:5" x14ac:dyDescent="0.2">
      <c r="A105" s="53" t="s">
        <v>71</v>
      </c>
      <c r="B105" s="79"/>
      <c r="C105" s="79"/>
      <c r="D105" s="79"/>
      <c r="E105" s="7"/>
    </row>
    <row r="106" spans="1:5" x14ac:dyDescent="0.2">
      <c r="A106" s="54" t="s">
        <v>689</v>
      </c>
      <c r="B106" s="79">
        <v>12500</v>
      </c>
      <c r="C106" s="79">
        <v>12000</v>
      </c>
      <c r="D106" s="79">
        <f t="shared" ref="D106:D111" si="16">B106-C106</f>
        <v>500</v>
      </c>
      <c r="E106" s="7">
        <f>D106/C106</f>
        <v>4.1666666666666664E-2</v>
      </c>
    </row>
    <row r="107" spans="1:5" x14ac:dyDescent="0.2">
      <c r="A107" s="54" t="s">
        <v>617</v>
      </c>
      <c r="B107" s="80">
        <v>21000</v>
      </c>
      <c r="C107" s="80">
        <v>21000</v>
      </c>
      <c r="D107" s="79">
        <f t="shared" si="16"/>
        <v>0</v>
      </c>
      <c r="E107" s="7">
        <f>D107/C107</f>
        <v>0</v>
      </c>
    </row>
    <row r="108" spans="1:5" x14ac:dyDescent="0.2">
      <c r="A108" s="54" t="s">
        <v>72</v>
      </c>
      <c r="B108" s="80">
        <v>38000</v>
      </c>
      <c r="C108" s="80">
        <v>38000</v>
      </c>
      <c r="D108" s="79">
        <f t="shared" si="16"/>
        <v>0</v>
      </c>
      <c r="E108" s="7">
        <f>D108/C108</f>
        <v>0</v>
      </c>
    </row>
    <row r="109" spans="1:5" x14ac:dyDescent="0.2">
      <c r="A109" s="54" t="s">
        <v>73</v>
      </c>
      <c r="B109" s="80">
        <f>ROUND(SUM(B92,B103,B106:B108)*0.22,0)</f>
        <v>204745</v>
      </c>
      <c r="C109" s="80">
        <v>180000</v>
      </c>
      <c r="D109" s="79">
        <f t="shared" si="16"/>
        <v>24745</v>
      </c>
      <c r="E109" s="7">
        <f>D109/C109</f>
        <v>0.13747222222222222</v>
      </c>
    </row>
    <row r="110" spans="1:5" ht="13.5" thickBot="1" x14ac:dyDescent="0.25">
      <c r="A110" s="55" t="s">
        <v>74</v>
      </c>
      <c r="B110" s="80">
        <v>7000</v>
      </c>
      <c r="C110" s="80">
        <v>7000</v>
      </c>
      <c r="D110" s="79">
        <f t="shared" si="16"/>
        <v>0</v>
      </c>
      <c r="E110" s="7">
        <f>D110/C110</f>
        <v>0</v>
      </c>
    </row>
    <row r="111" spans="1:5" x14ac:dyDescent="0.2">
      <c r="A111" s="53" t="s">
        <v>75</v>
      </c>
      <c r="B111" s="81">
        <f>SUM(B106:B110)</f>
        <v>283245</v>
      </c>
      <c r="C111" s="81">
        <f>SUM(C106:C110)</f>
        <v>258000</v>
      </c>
      <c r="D111" s="81">
        <f t="shared" si="16"/>
        <v>25245</v>
      </c>
      <c r="E111" s="8">
        <f>(B111-C111)/C111</f>
        <v>9.784883720930232E-2</v>
      </c>
    </row>
    <row r="112" spans="1:5" x14ac:dyDescent="0.2">
      <c r="A112" s="56"/>
      <c r="B112" s="82"/>
      <c r="C112" s="82"/>
      <c r="D112" s="82"/>
      <c r="E112" s="9"/>
    </row>
    <row r="113" spans="1:5" x14ac:dyDescent="0.2">
      <c r="A113" s="53" t="s">
        <v>76</v>
      </c>
      <c r="B113" s="79"/>
      <c r="C113" s="79"/>
      <c r="D113" s="79"/>
      <c r="E113" s="7"/>
    </row>
    <row r="114" spans="1:5" x14ac:dyDescent="0.2">
      <c r="A114" s="54" t="s">
        <v>631</v>
      </c>
      <c r="B114" s="80">
        <v>500</v>
      </c>
      <c r="C114" s="80">
        <v>500</v>
      </c>
      <c r="D114" s="79">
        <f t="shared" ref="D114:D125" si="17">B114-C114</f>
        <v>0</v>
      </c>
      <c r="E114" s="7">
        <f t="shared" ref="E114:E124" si="18">D114/C114</f>
        <v>0</v>
      </c>
    </row>
    <row r="115" spans="1:5" x14ac:dyDescent="0.2">
      <c r="A115" s="54" t="s">
        <v>77</v>
      </c>
      <c r="B115" s="80">
        <v>3000</v>
      </c>
      <c r="C115" s="80">
        <v>3000</v>
      </c>
      <c r="D115" s="79">
        <f t="shared" si="17"/>
        <v>0</v>
      </c>
      <c r="E115" s="7">
        <f t="shared" si="18"/>
        <v>0</v>
      </c>
    </row>
    <row r="116" spans="1:5" x14ac:dyDescent="0.2">
      <c r="A116" s="54" t="s">
        <v>78</v>
      </c>
      <c r="B116" s="80">
        <v>2500</v>
      </c>
      <c r="C116" s="80">
        <v>2500</v>
      </c>
      <c r="D116" s="79">
        <f t="shared" si="17"/>
        <v>0</v>
      </c>
      <c r="E116" s="7">
        <f t="shared" si="18"/>
        <v>0</v>
      </c>
    </row>
    <row r="117" spans="1:5" x14ac:dyDescent="0.2">
      <c r="A117" s="54" t="s">
        <v>79</v>
      </c>
      <c r="B117" s="80">
        <v>20000</v>
      </c>
      <c r="C117" s="80">
        <v>20000</v>
      </c>
      <c r="D117" s="79">
        <f t="shared" si="17"/>
        <v>0</v>
      </c>
      <c r="E117" s="7">
        <f t="shared" si="18"/>
        <v>0</v>
      </c>
    </row>
    <row r="118" spans="1:5" x14ac:dyDescent="0.2">
      <c r="A118" s="54" t="s">
        <v>80</v>
      </c>
      <c r="B118" s="80">
        <v>36720</v>
      </c>
      <c r="C118" s="80">
        <v>36720</v>
      </c>
      <c r="D118" s="79">
        <f t="shared" si="17"/>
        <v>0</v>
      </c>
      <c r="E118" s="7">
        <f t="shared" si="18"/>
        <v>0</v>
      </c>
    </row>
    <row r="119" spans="1:5" x14ac:dyDescent="0.2">
      <c r="A119" s="54" t="s">
        <v>81</v>
      </c>
      <c r="B119" s="80">
        <v>2000</v>
      </c>
      <c r="C119" s="80">
        <v>2000</v>
      </c>
      <c r="D119" s="79">
        <f t="shared" si="17"/>
        <v>0</v>
      </c>
      <c r="E119" s="7">
        <f t="shared" si="18"/>
        <v>0</v>
      </c>
    </row>
    <row r="120" spans="1:5" x14ac:dyDescent="0.2">
      <c r="A120" s="54" t="s">
        <v>82</v>
      </c>
      <c r="B120" s="80">
        <v>10000</v>
      </c>
      <c r="C120" s="80">
        <v>10000</v>
      </c>
      <c r="D120" s="79">
        <f t="shared" si="17"/>
        <v>0</v>
      </c>
      <c r="E120" s="7">
        <f t="shared" si="18"/>
        <v>0</v>
      </c>
    </row>
    <row r="121" spans="1:5" x14ac:dyDescent="0.2">
      <c r="A121" s="54" t="s">
        <v>83</v>
      </c>
      <c r="B121" s="80">
        <v>500</v>
      </c>
      <c r="C121" s="80">
        <v>500</v>
      </c>
      <c r="D121" s="79">
        <f t="shared" si="17"/>
        <v>0</v>
      </c>
      <c r="E121" s="7">
        <f t="shared" si="18"/>
        <v>0</v>
      </c>
    </row>
    <row r="122" spans="1:5" x14ac:dyDescent="0.2">
      <c r="A122" s="54" t="s">
        <v>84</v>
      </c>
      <c r="B122" s="80">
        <v>1000</v>
      </c>
      <c r="C122" s="80">
        <v>1000</v>
      </c>
      <c r="D122" s="79">
        <f t="shared" si="17"/>
        <v>0</v>
      </c>
      <c r="E122" s="7">
        <f t="shared" si="18"/>
        <v>0</v>
      </c>
    </row>
    <row r="123" spans="1:5" x14ac:dyDescent="0.2">
      <c r="A123" s="54" t="s">
        <v>85</v>
      </c>
      <c r="B123" s="80">
        <v>2000</v>
      </c>
      <c r="C123" s="80">
        <v>2000</v>
      </c>
      <c r="D123" s="79">
        <f t="shared" si="17"/>
        <v>0</v>
      </c>
      <c r="E123" s="7">
        <f t="shared" si="18"/>
        <v>0</v>
      </c>
    </row>
    <row r="124" spans="1:5" ht="13.5" thickBot="1" x14ac:dyDescent="0.25">
      <c r="A124" s="55" t="s">
        <v>86</v>
      </c>
      <c r="B124" s="80">
        <v>1000</v>
      </c>
      <c r="C124" s="80">
        <v>1000</v>
      </c>
      <c r="D124" s="79">
        <f t="shared" si="17"/>
        <v>0</v>
      </c>
      <c r="E124" s="7">
        <f t="shared" si="18"/>
        <v>0</v>
      </c>
    </row>
    <row r="125" spans="1:5" x14ac:dyDescent="0.2">
      <c r="A125" s="53" t="s">
        <v>87</v>
      </c>
      <c r="B125" s="81">
        <f>SUM(B114:B124)</f>
        <v>79220</v>
      </c>
      <c r="C125" s="81">
        <f>SUM(C114:C124)</f>
        <v>79220</v>
      </c>
      <c r="D125" s="81">
        <f t="shared" si="17"/>
        <v>0</v>
      </c>
      <c r="E125" s="8">
        <f>(B125-C125)/C125</f>
        <v>0</v>
      </c>
    </row>
    <row r="126" spans="1:5" ht="13.5" thickBot="1" x14ac:dyDescent="0.25">
      <c r="A126" s="57"/>
      <c r="B126" s="82"/>
      <c r="C126" s="82"/>
      <c r="D126" s="82"/>
      <c r="E126" s="9"/>
    </row>
    <row r="127" spans="1:5" ht="13.5" thickBot="1" x14ac:dyDescent="0.25">
      <c r="A127" s="58" t="s">
        <v>517</v>
      </c>
      <c r="B127" s="83">
        <f>SUM(B125,B111,B103,B92,B88,B76,B64,B52,B40,B28,B16)</f>
        <v>1470934</v>
      </c>
      <c r="C127" s="83">
        <f>SUM(C125,C111,C103,C92,C88,C76,C64,C52,C40,C28,C16)</f>
        <v>1419264</v>
      </c>
      <c r="D127" s="83">
        <f>B127-C127</f>
        <v>51670</v>
      </c>
      <c r="E127" s="10">
        <f>(B127-C127)/C127</f>
        <v>3.6406193632756136E-2</v>
      </c>
    </row>
    <row r="128" spans="1:5" ht="13.5" thickBot="1" x14ac:dyDescent="0.25">
      <c r="A128" s="59"/>
      <c r="B128" s="84"/>
      <c r="C128" s="84"/>
      <c r="D128" s="84"/>
      <c r="E128" s="11"/>
    </row>
    <row r="129" spans="1:5" x14ac:dyDescent="0.2">
      <c r="A129" s="52" t="s">
        <v>479</v>
      </c>
      <c r="B129" s="78"/>
      <c r="C129" s="78"/>
      <c r="D129" s="78"/>
      <c r="E129" s="3"/>
    </row>
    <row r="130" spans="1:5" x14ac:dyDescent="0.2">
      <c r="A130" s="53" t="s">
        <v>88</v>
      </c>
      <c r="B130" s="79"/>
      <c r="C130" s="79"/>
      <c r="D130" s="79"/>
      <c r="E130" s="7"/>
    </row>
    <row r="131" spans="1:5" ht="13.5" thickBot="1" x14ac:dyDescent="0.25">
      <c r="A131" s="55" t="s">
        <v>89</v>
      </c>
      <c r="B131" s="80">
        <v>1000</v>
      </c>
      <c r="C131" s="80">
        <v>1000</v>
      </c>
      <c r="D131" s="79">
        <f>B131-C131</f>
        <v>0</v>
      </c>
      <c r="E131" s="7">
        <f>D131/C131</f>
        <v>0</v>
      </c>
    </row>
    <row r="132" spans="1:5" x14ac:dyDescent="0.2">
      <c r="A132" s="53" t="s">
        <v>90</v>
      </c>
      <c r="B132" s="81">
        <f>SUM(B131:B131)</f>
        <v>1000</v>
      </c>
      <c r="C132" s="81">
        <f>SUM(C131:C131)</f>
        <v>1000</v>
      </c>
      <c r="D132" s="81">
        <f>B132-C132</f>
        <v>0</v>
      </c>
      <c r="E132" s="8">
        <f>(B132-C132)/C132</f>
        <v>0</v>
      </c>
    </row>
    <row r="133" spans="1:5" x14ac:dyDescent="0.2">
      <c r="A133" s="56"/>
      <c r="B133" s="82"/>
      <c r="C133" s="82"/>
      <c r="D133" s="82"/>
      <c r="E133" s="9"/>
    </row>
    <row r="134" spans="1:5" x14ac:dyDescent="0.2">
      <c r="A134" s="53" t="s">
        <v>91</v>
      </c>
      <c r="B134" s="79"/>
      <c r="C134" s="79"/>
      <c r="D134" s="79"/>
      <c r="E134" s="7"/>
    </row>
    <row r="135" spans="1:5" x14ac:dyDescent="0.2">
      <c r="A135" s="54" t="s">
        <v>92</v>
      </c>
      <c r="B135" s="80">
        <v>45000</v>
      </c>
      <c r="C135" s="80">
        <v>45000</v>
      </c>
      <c r="D135" s="79">
        <f>B135-C135</f>
        <v>0</v>
      </c>
      <c r="E135" s="7">
        <f>D135/C135</f>
        <v>0</v>
      </c>
    </row>
    <row r="136" spans="1:5" x14ac:dyDescent="0.2">
      <c r="A136" s="54" t="s">
        <v>625</v>
      </c>
      <c r="B136" s="80">
        <v>30000</v>
      </c>
      <c r="C136" s="80">
        <v>30000</v>
      </c>
      <c r="D136" s="79">
        <f>B136-C136</f>
        <v>0</v>
      </c>
      <c r="E136" s="7">
        <f>D136/C136</f>
        <v>0</v>
      </c>
    </row>
    <row r="137" spans="1:5" ht="13.5" thickBot="1" x14ac:dyDescent="0.25">
      <c r="A137" s="55" t="s">
        <v>93</v>
      </c>
      <c r="B137" s="80">
        <v>20000</v>
      </c>
      <c r="C137" s="80">
        <v>20000</v>
      </c>
      <c r="D137" s="79">
        <f>B137-C137</f>
        <v>0</v>
      </c>
      <c r="E137" s="7">
        <f>D137/C137</f>
        <v>0</v>
      </c>
    </row>
    <row r="138" spans="1:5" x14ac:dyDescent="0.2">
      <c r="A138" s="53" t="s">
        <v>94</v>
      </c>
      <c r="B138" s="81">
        <f>SUM(B135:B137)</f>
        <v>95000</v>
      </c>
      <c r="C138" s="81">
        <f>SUM(C135:C137)</f>
        <v>95000</v>
      </c>
      <c r="D138" s="81">
        <f>B138-C138</f>
        <v>0</v>
      </c>
      <c r="E138" s="8">
        <f>(B138-C138)/C138</f>
        <v>0</v>
      </c>
    </row>
    <row r="139" spans="1:5" ht="13.5" thickBot="1" x14ac:dyDescent="0.25">
      <c r="A139" s="57"/>
      <c r="B139" s="82"/>
      <c r="C139" s="82"/>
      <c r="D139" s="82"/>
      <c r="E139" s="9"/>
    </row>
    <row r="140" spans="1:5" ht="13.5" thickBot="1" x14ac:dyDescent="0.25">
      <c r="A140" s="58" t="s">
        <v>518</v>
      </c>
      <c r="B140" s="83">
        <f>SUM(B138,B132)</f>
        <v>96000</v>
      </c>
      <c r="C140" s="83">
        <f>SUM(C138,C132)</f>
        <v>96000</v>
      </c>
      <c r="D140" s="83">
        <f>B140-C140</f>
        <v>0</v>
      </c>
      <c r="E140" s="10">
        <f>(B140-C140)/C140</f>
        <v>0</v>
      </c>
    </row>
    <row r="141" spans="1:5" ht="13.5" thickBot="1" x14ac:dyDescent="0.25">
      <c r="A141" s="57"/>
      <c r="B141" s="77"/>
      <c r="C141" s="77"/>
      <c r="D141" s="77"/>
      <c r="E141" s="6"/>
    </row>
    <row r="142" spans="1:5" x14ac:dyDescent="0.2">
      <c r="A142" s="52" t="s">
        <v>480</v>
      </c>
      <c r="B142" s="79"/>
      <c r="C142" s="79"/>
      <c r="D142" s="79"/>
      <c r="E142" s="7"/>
    </row>
    <row r="143" spans="1:5" x14ac:dyDescent="0.2">
      <c r="A143" s="53" t="s">
        <v>95</v>
      </c>
      <c r="B143" s="79"/>
      <c r="C143" s="79"/>
      <c r="D143" s="79"/>
      <c r="E143" s="7"/>
    </row>
    <row r="144" spans="1:5" ht="13.5" thickBot="1" x14ac:dyDescent="0.25">
      <c r="A144" s="55" t="s">
        <v>96</v>
      </c>
      <c r="B144" s="80">
        <v>250000</v>
      </c>
      <c r="C144" s="80">
        <v>300000</v>
      </c>
      <c r="D144" s="79">
        <f>B144-C144</f>
        <v>-50000</v>
      </c>
      <c r="E144" s="7">
        <f>D144/C144</f>
        <v>-0.16666666666666666</v>
      </c>
    </row>
    <row r="145" spans="1:5" x14ac:dyDescent="0.2">
      <c r="A145" s="53" t="s">
        <v>97</v>
      </c>
      <c r="B145" s="81">
        <f>SUM(B144:B144)</f>
        <v>250000</v>
      </c>
      <c r="C145" s="81">
        <f>SUM(C144:C144)</f>
        <v>300000</v>
      </c>
      <c r="D145" s="81">
        <f>B145-C145</f>
        <v>-50000</v>
      </c>
      <c r="E145" s="8">
        <f>(B145-C145)/C145</f>
        <v>-0.16666666666666666</v>
      </c>
    </row>
    <row r="146" spans="1:5" ht="13.5" thickBot="1" x14ac:dyDescent="0.25">
      <c r="A146" s="58"/>
      <c r="B146" s="82"/>
      <c r="C146" s="82"/>
      <c r="D146" s="82"/>
      <c r="E146" s="9"/>
    </row>
    <row r="147" spans="1:5" ht="13.5" thickBot="1" x14ac:dyDescent="0.25">
      <c r="A147" s="58" t="s">
        <v>519</v>
      </c>
      <c r="B147" s="83">
        <f>B145</f>
        <v>250000</v>
      </c>
      <c r="C147" s="83">
        <f>C145</f>
        <v>300000</v>
      </c>
      <c r="D147" s="83">
        <f>B147-C147</f>
        <v>-50000</v>
      </c>
      <c r="E147" s="10">
        <f>(B147-C147)/C147</f>
        <v>-0.16666666666666666</v>
      </c>
    </row>
    <row r="148" spans="1:5" ht="13.5" thickBot="1" x14ac:dyDescent="0.25">
      <c r="A148" s="57"/>
      <c r="B148" s="85"/>
      <c r="C148" s="85"/>
      <c r="D148" s="85"/>
      <c r="E148" s="13"/>
    </row>
    <row r="149" spans="1:5" x14ac:dyDescent="0.2">
      <c r="A149" s="52" t="s">
        <v>481</v>
      </c>
      <c r="B149" s="78"/>
      <c r="C149" s="78"/>
      <c r="D149" s="78"/>
      <c r="E149" s="3"/>
    </row>
    <row r="150" spans="1:5" x14ac:dyDescent="0.2">
      <c r="A150" s="53" t="s">
        <v>88</v>
      </c>
      <c r="B150" s="79"/>
      <c r="C150" s="79"/>
      <c r="D150" s="79"/>
      <c r="E150" s="7"/>
    </row>
    <row r="151" spans="1:5" x14ac:dyDescent="0.2">
      <c r="A151" s="54" t="s">
        <v>99</v>
      </c>
      <c r="B151" s="80">
        <v>33000</v>
      </c>
      <c r="C151" s="80">
        <v>33000</v>
      </c>
      <c r="D151" s="79">
        <f>B151-C151</f>
        <v>0</v>
      </c>
      <c r="E151" s="7">
        <f>D151/C151</f>
        <v>0</v>
      </c>
    </row>
    <row r="152" spans="1:5" x14ac:dyDescent="0.2">
      <c r="A152" s="54" t="s">
        <v>100</v>
      </c>
      <c r="B152" s="80">
        <v>2000</v>
      </c>
      <c r="C152" s="80">
        <v>2000</v>
      </c>
      <c r="D152" s="79">
        <f>B152-C152</f>
        <v>0</v>
      </c>
      <c r="E152" s="7">
        <f>D152/C152</f>
        <v>0</v>
      </c>
    </row>
    <row r="153" spans="1:5" x14ac:dyDescent="0.2">
      <c r="A153" s="54" t="s">
        <v>101</v>
      </c>
      <c r="B153" s="80">
        <v>2000</v>
      </c>
      <c r="C153" s="80">
        <v>2500</v>
      </c>
      <c r="D153" s="79">
        <f>B153-C153</f>
        <v>-500</v>
      </c>
      <c r="E153" s="7">
        <f>D153/C153</f>
        <v>-0.2</v>
      </c>
    </row>
    <row r="154" spans="1:5" ht="13.5" thickBot="1" x14ac:dyDescent="0.25">
      <c r="A154" s="55" t="s">
        <v>102</v>
      </c>
      <c r="B154" s="80">
        <v>1000</v>
      </c>
      <c r="C154" s="80">
        <v>1000</v>
      </c>
      <c r="D154" s="79">
        <f>B154-C154</f>
        <v>0</v>
      </c>
      <c r="E154" s="7">
        <f>D154/C154</f>
        <v>0</v>
      </c>
    </row>
    <row r="155" spans="1:5" x14ac:dyDescent="0.2">
      <c r="A155" s="53" t="s">
        <v>90</v>
      </c>
      <c r="B155" s="81">
        <f>SUM(B151:B154)</f>
        <v>38000</v>
      </c>
      <c r="C155" s="81">
        <f>SUM(C151:C154)</f>
        <v>38500</v>
      </c>
      <c r="D155" s="81">
        <f>B155-C155</f>
        <v>-500</v>
      </c>
      <c r="E155" s="8">
        <f>(B155-C155)/C155</f>
        <v>-1.2987012987012988E-2</v>
      </c>
    </row>
    <row r="156" spans="1:5" x14ac:dyDescent="0.2">
      <c r="A156" s="56"/>
      <c r="B156" s="82"/>
      <c r="C156" s="82"/>
      <c r="D156" s="82"/>
      <c r="E156" s="9"/>
    </row>
    <row r="157" spans="1:5" x14ac:dyDescent="0.2">
      <c r="A157" s="53" t="s">
        <v>103</v>
      </c>
      <c r="B157" s="79"/>
      <c r="C157" s="79"/>
      <c r="D157" s="79"/>
      <c r="E157" s="7"/>
    </row>
    <row r="158" spans="1:5" x14ac:dyDescent="0.2">
      <c r="A158" s="54" t="s">
        <v>104</v>
      </c>
      <c r="B158" s="80">
        <v>1000</v>
      </c>
      <c r="C158" s="80">
        <v>1000</v>
      </c>
      <c r="D158" s="79">
        <f t="shared" ref="D158:D164" si="19">B158-C158</f>
        <v>0</v>
      </c>
      <c r="E158" s="7">
        <f t="shared" ref="E158:E163" si="20">D158/C158</f>
        <v>0</v>
      </c>
    </row>
    <row r="159" spans="1:5" x14ac:dyDescent="0.2">
      <c r="A159" s="54" t="s">
        <v>105</v>
      </c>
      <c r="B159" s="80">
        <v>3000</v>
      </c>
      <c r="C159" s="80">
        <v>4500</v>
      </c>
      <c r="D159" s="79">
        <f t="shared" si="19"/>
        <v>-1500</v>
      </c>
      <c r="E159" s="7">
        <f t="shared" si="20"/>
        <v>-0.33333333333333331</v>
      </c>
    </row>
    <row r="160" spans="1:5" x14ac:dyDescent="0.2">
      <c r="A160" s="54" t="s">
        <v>106</v>
      </c>
      <c r="B160" s="80">
        <v>12000</v>
      </c>
      <c r="C160" s="80">
        <v>10000</v>
      </c>
      <c r="D160" s="79">
        <f t="shared" si="19"/>
        <v>2000</v>
      </c>
      <c r="E160" s="7">
        <f t="shared" si="20"/>
        <v>0.2</v>
      </c>
    </row>
    <row r="161" spans="1:5" x14ac:dyDescent="0.2">
      <c r="A161" s="54" t="s">
        <v>107</v>
      </c>
      <c r="B161" s="80">
        <v>16000</v>
      </c>
      <c r="C161" s="80">
        <v>15000</v>
      </c>
      <c r="D161" s="79">
        <f t="shared" si="19"/>
        <v>1000</v>
      </c>
      <c r="E161" s="7">
        <f t="shared" si="20"/>
        <v>6.6666666666666666E-2</v>
      </c>
    </row>
    <row r="162" spans="1:5" x14ac:dyDescent="0.2">
      <c r="A162" s="54" t="s">
        <v>108</v>
      </c>
      <c r="B162" s="80">
        <v>3000</v>
      </c>
      <c r="C162" s="80">
        <v>3000</v>
      </c>
      <c r="D162" s="79">
        <f t="shared" si="19"/>
        <v>0</v>
      </c>
      <c r="E162" s="7">
        <f t="shared" si="20"/>
        <v>0</v>
      </c>
    </row>
    <row r="163" spans="1:5" ht="13.5" thickBot="1" x14ac:dyDescent="0.25">
      <c r="A163" s="55" t="s">
        <v>618</v>
      </c>
      <c r="B163" s="80">
        <v>13000</v>
      </c>
      <c r="C163" s="80">
        <v>12000</v>
      </c>
      <c r="D163" s="79">
        <f t="shared" si="19"/>
        <v>1000</v>
      </c>
      <c r="E163" s="7">
        <f t="shared" si="20"/>
        <v>8.3333333333333329E-2</v>
      </c>
    </row>
    <row r="164" spans="1:5" x14ac:dyDescent="0.2">
      <c r="A164" s="53" t="s">
        <v>109</v>
      </c>
      <c r="B164" s="81">
        <f>SUM(B158:B163)</f>
        <v>48000</v>
      </c>
      <c r="C164" s="81">
        <f>SUM(C158:C163)</f>
        <v>45500</v>
      </c>
      <c r="D164" s="81">
        <f t="shared" si="19"/>
        <v>2500</v>
      </c>
      <c r="E164" s="8">
        <f>(B164-C164)/C164</f>
        <v>5.4945054945054944E-2</v>
      </c>
    </row>
    <row r="165" spans="1:5" x14ac:dyDescent="0.2">
      <c r="A165" s="56"/>
      <c r="B165" s="82"/>
      <c r="C165" s="82"/>
      <c r="D165" s="82"/>
      <c r="E165" s="9"/>
    </row>
    <row r="166" spans="1:5" x14ac:dyDescent="0.2">
      <c r="A166" s="53" t="s">
        <v>110</v>
      </c>
      <c r="B166" s="79"/>
      <c r="C166" s="79"/>
      <c r="D166" s="79"/>
      <c r="E166" s="7"/>
    </row>
    <row r="167" spans="1:5" ht="13.5" thickBot="1" x14ac:dyDescent="0.25">
      <c r="A167" s="55" t="s">
        <v>111</v>
      </c>
      <c r="B167" s="80">
        <v>30000</v>
      </c>
      <c r="C167" s="80">
        <v>37000</v>
      </c>
      <c r="D167" s="79">
        <f>B167-C167</f>
        <v>-7000</v>
      </c>
      <c r="E167" s="7">
        <f>D167/C167</f>
        <v>-0.1891891891891892</v>
      </c>
    </row>
    <row r="168" spans="1:5" x14ac:dyDescent="0.2">
      <c r="A168" s="53" t="s">
        <v>112</v>
      </c>
      <c r="B168" s="81">
        <f>SUM(B167)</f>
        <v>30000</v>
      </c>
      <c r="C168" s="81">
        <f>SUM(C167)</f>
        <v>37000</v>
      </c>
      <c r="D168" s="81">
        <f>B168-C168</f>
        <v>-7000</v>
      </c>
      <c r="E168" s="8">
        <f>(B168-C168)/C168</f>
        <v>-0.1891891891891892</v>
      </c>
    </row>
    <row r="169" spans="1:5" x14ac:dyDescent="0.2">
      <c r="A169" s="56"/>
      <c r="B169" s="82"/>
      <c r="C169" s="82"/>
      <c r="D169" s="82"/>
      <c r="E169" s="9"/>
    </row>
    <row r="170" spans="1:5" x14ac:dyDescent="0.2">
      <c r="A170" s="53" t="s">
        <v>113</v>
      </c>
      <c r="B170" s="79"/>
      <c r="C170" s="79"/>
      <c r="D170" s="79"/>
      <c r="E170" s="7"/>
    </row>
    <row r="171" spans="1:5" ht="13.5" thickBot="1" x14ac:dyDescent="0.25">
      <c r="A171" s="55" t="s">
        <v>114</v>
      </c>
      <c r="B171" s="80">
        <v>32000</v>
      </c>
      <c r="C171" s="80">
        <v>32000</v>
      </c>
      <c r="D171" s="79">
        <f>B171-C171</f>
        <v>0</v>
      </c>
      <c r="E171" s="7">
        <f>D171/C171</f>
        <v>0</v>
      </c>
    </row>
    <row r="172" spans="1:5" x14ac:dyDescent="0.2">
      <c r="A172" s="53" t="s">
        <v>115</v>
      </c>
      <c r="B172" s="81">
        <f>SUM(B171)</f>
        <v>32000</v>
      </c>
      <c r="C172" s="81">
        <f>SUM(C171)</f>
        <v>32000</v>
      </c>
      <c r="D172" s="81">
        <f>B172-C172</f>
        <v>0</v>
      </c>
      <c r="E172" s="8">
        <f>(B172-C172)/C172</f>
        <v>0</v>
      </c>
    </row>
    <row r="173" spans="1:5" x14ac:dyDescent="0.2">
      <c r="A173" s="56"/>
      <c r="B173" s="82"/>
      <c r="C173" s="82"/>
      <c r="D173" s="82"/>
      <c r="E173" s="9"/>
    </row>
    <row r="174" spans="1:5" x14ac:dyDescent="0.2">
      <c r="A174" s="53" t="s">
        <v>116</v>
      </c>
      <c r="B174" s="79"/>
      <c r="C174" s="79"/>
      <c r="D174" s="79"/>
      <c r="E174" s="7"/>
    </row>
    <row r="175" spans="1:5" ht="13.5" thickBot="1" x14ac:dyDescent="0.25">
      <c r="A175" s="55" t="s">
        <v>117</v>
      </c>
      <c r="B175" s="80">
        <v>3000</v>
      </c>
      <c r="C175" s="80">
        <v>3000</v>
      </c>
      <c r="D175" s="79">
        <f>B175-C175</f>
        <v>0</v>
      </c>
      <c r="E175" s="7">
        <f>D175/C175</f>
        <v>0</v>
      </c>
    </row>
    <row r="176" spans="1:5" x14ac:dyDescent="0.2">
      <c r="A176" s="53" t="s">
        <v>118</v>
      </c>
      <c r="B176" s="81">
        <f>SUM(B175)</f>
        <v>3000</v>
      </c>
      <c r="C176" s="81">
        <f>SUM(C175)</f>
        <v>3000</v>
      </c>
      <c r="D176" s="81">
        <f>B176-C176</f>
        <v>0</v>
      </c>
      <c r="E176" s="8">
        <f>(B176-C176)/C176</f>
        <v>0</v>
      </c>
    </row>
    <row r="177" spans="1:5" x14ac:dyDescent="0.2">
      <c r="A177" s="56"/>
      <c r="B177" s="82"/>
      <c r="C177" s="82"/>
      <c r="D177" s="82"/>
      <c r="E177" s="9"/>
    </row>
    <row r="178" spans="1:5" x14ac:dyDescent="0.2">
      <c r="A178" s="53" t="s">
        <v>119</v>
      </c>
      <c r="B178" s="79"/>
      <c r="C178" s="79"/>
      <c r="D178" s="79"/>
      <c r="E178" s="7"/>
    </row>
    <row r="179" spans="1:5" x14ac:dyDescent="0.2">
      <c r="A179" s="54" t="s">
        <v>120</v>
      </c>
      <c r="B179" s="80">
        <v>2000</v>
      </c>
      <c r="C179" s="80">
        <v>2500</v>
      </c>
      <c r="D179" s="79">
        <f>B179-C179</f>
        <v>-500</v>
      </c>
      <c r="E179" s="7">
        <f>D179/C179</f>
        <v>-0.2</v>
      </c>
    </row>
    <row r="180" spans="1:5" x14ac:dyDescent="0.2">
      <c r="A180" s="54" t="s">
        <v>121</v>
      </c>
      <c r="B180" s="80">
        <v>800</v>
      </c>
      <c r="C180" s="80">
        <v>800</v>
      </c>
      <c r="D180" s="79">
        <f>B180-C180</f>
        <v>0</v>
      </c>
      <c r="E180" s="7">
        <f>D180/C180</f>
        <v>0</v>
      </c>
    </row>
    <row r="181" spans="1:5" ht="13.5" thickBot="1" x14ac:dyDescent="0.25">
      <c r="A181" s="55" t="s">
        <v>122</v>
      </c>
      <c r="B181" s="80">
        <v>3000</v>
      </c>
      <c r="C181" s="80">
        <v>3500</v>
      </c>
      <c r="D181" s="79">
        <f>B181-C181</f>
        <v>-500</v>
      </c>
      <c r="E181" s="7">
        <f>D181/C181</f>
        <v>-0.14285714285714285</v>
      </c>
    </row>
    <row r="182" spans="1:5" x14ac:dyDescent="0.2">
      <c r="A182" s="53" t="s">
        <v>123</v>
      </c>
      <c r="B182" s="81">
        <f>SUM(B179:B181)</f>
        <v>5800</v>
      </c>
      <c r="C182" s="81">
        <f>SUM(C179:C181)</f>
        <v>6800</v>
      </c>
      <c r="D182" s="81">
        <f>B182-C182</f>
        <v>-1000</v>
      </c>
      <c r="E182" s="8">
        <f>(B182-C182)/C182</f>
        <v>-0.14705882352941177</v>
      </c>
    </row>
    <row r="183" spans="1:5" x14ac:dyDescent="0.2">
      <c r="A183" s="52"/>
      <c r="B183" s="86"/>
      <c r="C183" s="86"/>
      <c r="D183" s="86"/>
      <c r="E183" s="45"/>
    </row>
    <row r="184" spans="1:5" x14ac:dyDescent="0.2">
      <c r="A184" s="53" t="s">
        <v>692</v>
      </c>
      <c r="B184" s="79"/>
      <c r="C184" s="79"/>
      <c r="D184" s="79"/>
      <c r="E184" s="7"/>
    </row>
    <row r="185" spans="1:5" x14ac:dyDescent="0.2">
      <c r="A185" s="54" t="s">
        <v>693</v>
      </c>
      <c r="B185" s="80">
        <v>100</v>
      </c>
      <c r="C185" s="80">
        <v>500</v>
      </c>
      <c r="D185" s="79">
        <f>B185-C185</f>
        <v>-400</v>
      </c>
      <c r="E185" s="7">
        <f>D185/C185</f>
        <v>-0.8</v>
      </c>
    </row>
    <row r="186" spans="1:5" x14ac:dyDescent="0.2">
      <c r="A186" s="54" t="s">
        <v>694</v>
      </c>
      <c r="B186" s="80">
        <v>9000</v>
      </c>
      <c r="C186" s="80">
        <v>4500</v>
      </c>
      <c r="D186" s="79">
        <f>B186-C186</f>
        <v>4500</v>
      </c>
      <c r="E186" s="7">
        <f>D186/C186</f>
        <v>1</v>
      </c>
    </row>
    <row r="187" spans="1:5" ht="13.5" thickBot="1" x14ac:dyDescent="0.25">
      <c r="A187" s="55" t="s">
        <v>695</v>
      </c>
      <c r="B187" s="80">
        <v>0</v>
      </c>
      <c r="C187" s="80">
        <v>4000</v>
      </c>
      <c r="D187" s="79">
        <f>B187-C187</f>
        <v>-4000</v>
      </c>
      <c r="E187" s="7">
        <f>D187/C187</f>
        <v>-1</v>
      </c>
    </row>
    <row r="188" spans="1:5" ht="13.5" thickBot="1" x14ac:dyDescent="0.25">
      <c r="A188" s="58" t="s">
        <v>708</v>
      </c>
      <c r="B188" s="83">
        <f>SUM(B185:B187)</f>
        <v>9100</v>
      </c>
      <c r="C188" s="83">
        <f>SUM(C185:C187)</f>
        <v>9000</v>
      </c>
      <c r="D188" s="83">
        <f>B188-C188</f>
        <v>100</v>
      </c>
      <c r="E188" s="10">
        <f>(B188-C188)/C188</f>
        <v>1.1111111111111112E-2</v>
      </c>
    </row>
    <row r="189" spans="1:5" ht="13.5" thickBot="1" x14ac:dyDescent="0.25">
      <c r="A189" s="57"/>
      <c r="B189" s="82"/>
      <c r="C189" s="82"/>
      <c r="D189" s="82"/>
      <c r="E189" s="9"/>
    </row>
    <row r="190" spans="1:5" ht="13.5" thickBot="1" x14ac:dyDescent="0.25">
      <c r="A190" s="58" t="s">
        <v>520</v>
      </c>
      <c r="B190" s="83">
        <f>SUM(B182,B176,B172,B168,B164,B155,B188)</f>
        <v>165900</v>
      </c>
      <c r="C190" s="83">
        <f>SUM(C182,C176,C172,C168,C164,C155,C188)</f>
        <v>171800</v>
      </c>
      <c r="D190" s="83">
        <f>SUM(D182,D176,D172,D168,D164,D155,D188)</f>
        <v>-5900</v>
      </c>
      <c r="E190" s="10">
        <f>(B190-C190)/C190</f>
        <v>-3.4342258440046569E-2</v>
      </c>
    </row>
    <row r="191" spans="1:5" ht="13.5" thickBot="1" x14ac:dyDescent="0.25">
      <c r="A191" s="59"/>
      <c r="B191" s="84"/>
      <c r="C191" s="84"/>
      <c r="D191" s="84"/>
      <c r="E191" s="11"/>
    </row>
    <row r="192" spans="1:5" x14ac:dyDescent="0.2">
      <c r="A192" s="52" t="s">
        <v>619</v>
      </c>
      <c r="B192" s="79"/>
      <c r="C192" s="79"/>
      <c r="D192" s="79"/>
      <c r="E192" s="7"/>
    </row>
    <row r="193" spans="1:5" x14ac:dyDescent="0.2">
      <c r="A193" s="53" t="s">
        <v>124</v>
      </c>
      <c r="B193" s="79"/>
      <c r="C193" s="79"/>
      <c r="D193" s="79"/>
      <c r="E193" s="7"/>
    </row>
    <row r="194" spans="1:5" ht="13.5" thickBot="1" x14ac:dyDescent="0.25">
      <c r="A194" s="55" t="s">
        <v>125</v>
      </c>
      <c r="B194" s="80">
        <v>500</v>
      </c>
      <c r="C194" s="80">
        <v>500</v>
      </c>
      <c r="D194" s="79">
        <f>B194-C194</f>
        <v>0</v>
      </c>
      <c r="E194" s="7">
        <f>D194/C194</f>
        <v>0</v>
      </c>
    </row>
    <row r="195" spans="1:5" x14ac:dyDescent="0.2">
      <c r="A195" s="53" t="s">
        <v>126</v>
      </c>
      <c r="B195" s="81">
        <f>SUM(B194:B194)</f>
        <v>500</v>
      </c>
      <c r="C195" s="81">
        <f>SUM(C194:C194)</f>
        <v>500</v>
      </c>
      <c r="D195" s="81">
        <f>B195-C195</f>
        <v>0</v>
      </c>
      <c r="E195" s="8">
        <f>(B195-C195)/C195</f>
        <v>0</v>
      </c>
    </row>
    <row r="196" spans="1:5" x14ac:dyDescent="0.2">
      <c r="A196" s="56"/>
      <c r="B196" s="82"/>
      <c r="C196" s="82"/>
      <c r="D196" s="82"/>
      <c r="E196" s="9"/>
    </row>
    <row r="197" spans="1:5" x14ac:dyDescent="0.2">
      <c r="A197" s="53" t="s">
        <v>127</v>
      </c>
      <c r="B197" s="79"/>
      <c r="C197" s="79"/>
      <c r="D197" s="79"/>
      <c r="E197" s="7"/>
    </row>
    <row r="198" spans="1:5" ht="12" customHeight="1" x14ac:dyDescent="0.2">
      <c r="A198" s="54" t="s">
        <v>632</v>
      </c>
      <c r="B198" s="80">
        <v>13300</v>
      </c>
      <c r="C198" s="80">
        <v>13300</v>
      </c>
      <c r="D198" s="79">
        <f>B198-C198</f>
        <v>0</v>
      </c>
      <c r="E198" s="7">
        <f>D198/C198</f>
        <v>0</v>
      </c>
    </row>
    <row r="199" spans="1:5" x14ac:dyDescent="0.2">
      <c r="A199" s="54" t="s">
        <v>628</v>
      </c>
      <c r="B199" s="80">
        <v>7200</v>
      </c>
      <c r="C199" s="80">
        <v>7200</v>
      </c>
      <c r="D199" s="79">
        <f>B199-C199</f>
        <v>0</v>
      </c>
      <c r="E199" s="7">
        <f>D199/C199</f>
        <v>0</v>
      </c>
    </row>
    <row r="200" spans="1:5" ht="13.5" thickBot="1" x14ac:dyDescent="0.25">
      <c r="A200" s="55" t="s">
        <v>620</v>
      </c>
      <c r="B200" s="80">
        <v>1500</v>
      </c>
      <c r="C200" s="80">
        <v>1500</v>
      </c>
      <c r="D200" s="79">
        <f>B200-C200</f>
        <v>0</v>
      </c>
      <c r="E200" s="7">
        <f>D200/C200</f>
        <v>0</v>
      </c>
    </row>
    <row r="201" spans="1:5" x14ac:dyDescent="0.2">
      <c r="A201" s="53" t="s">
        <v>128</v>
      </c>
      <c r="B201" s="81">
        <f>SUM(B198:B200)</f>
        <v>22000</v>
      </c>
      <c r="C201" s="81">
        <f>SUM(C198:C200)</f>
        <v>22000</v>
      </c>
      <c r="D201" s="81">
        <f>SUM(D198:D200)</f>
        <v>0</v>
      </c>
      <c r="E201" s="8">
        <f>(B201-C201)/C201</f>
        <v>0</v>
      </c>
    </row>
    <row r="202" spans="1:5" x14ac:dyDescent="0.2">
      <c r="A202" s="56"/>
      <c r="B202" s="82"/>
      <c r="C202" s="82"/>
      <c r="D202" s="82"/>
      <c r="E202" s="9"/>
    </row>
    <row r="203" spans="1:5" x14ac:dyDescent="0.2">
      <c r="A203" s="53" t="s">
        <v>129</v>
      </c>
      <c r="B203" s="79"/>
      <c r="C203" s="79"/>
      <c r="D203" s="79"/>
      <c r="E203" s="7"/>
    </row>
    <row r="204" spans="1:5" ht="13.5" thickBot="1" x14ac:dyDescent="0.25">
      <c r="A204" s="55" t="s">
        <v>130</v>
      </c>
      <c r="B204" s="80">
        <v>500</v>
      </c>
      <c r="C204" s="80">
        <v>500</v>
      </c>
      <c r="D204" s="79">
        <f>B204-C204</f>
        <v>0</v>
      </c>
      <c r="E204" s="7">
        <f>D204/C204</f>
        <v>0</v>
      </c>
    </row>
    <row r="205" spans="1:5" x14ac:dyDescent="0.2">
      <c r="A205" s="53" t="s">
        <v>131</v>
      </c>
      <c r="B205" s="81">
        <f>SUM(B204)</f>
        <v>500</v>
      </c>
      <c r="C205" s="81">
        <f>SUM(C204)</f>
        <v>500</v>
      </c>
      <c r="D205" s="81">
        <f>B205-C205</f>
        <v>0</v>
      </c>
      <c r="E205" s="8">
        <f>(B205-C205)/C205</f>
        <v>0</v>
      </c>
    </row>
    <row r="206" spans="1:5" x14ac:dyDescent="0.2">
      <c r="A206" s="56"/>
      <c r="B206" s="82"/>
      <c r="C206" s="82"/>
      <c r="D206" s="82"/>
      <c r="E206" s="9"/>
    </row>
    <row r="207" spans="1:5" ht="13.5" thickBot="1" x14ac:dyDescent="0.25">
      <c r="A207" s="55" t="s">
        <v>476</v>
      </c>
      <c r="B207" s="87"/>
      <c r="C207" s="87"/>
      <c r="D207" s="87"/>
      <c r="E207" s="5"/>
    </row>
    <row r="208" spans="1:5" ht="13.5" thickBot="1" x14ac:dyDescent="0.25">
      <c r="A208" s="58" t="s">
        <v>621</v>
      </c>
      <c r="B208" s="83">
        <f>SUM(B205,B201,B195)</f>
        <v>23000</v>
      </c>
      <c r="C208" s="83">
        <f>SUM(C205,C201,C195)</f>
        <v>23000</v>
      </c>
      <c r="D208" s="83">
        <f>B208-C208</f>
        <v>0</v>
      </c>
      <c r="E208" s="10">
        <f>(B208-C208)/C208</f>
        <v>0</v>
      </c>
    </row>
    <row r="209" spans="1:5" ht="13.5" thickBot="1" x14ac:dyDescent="0.25">
      <c r="A209" s="59"/>
      <c r="B209" s="88"/>
      <c r="C209" s="88"/>
      <c r="D209" s="88"/>
      <c r="E209" s="12"/>
    </row>
    <row r="210" spans="1:5" x14ac:dyDescent="0.2">
      <c r="A210" s="52" t="s">
        <v>633</v>
      </c>
      <c r="B210" s="78"/>
      <c r="C210" s="78"/>
      <c r="D210" s="78"/>
      <c r="E210" s="3"/>
    </row>
    <row r="211" spans="1:5" x14ac:dyDescent="0.2">
      <c r="A211" s="54" t="s">
        <v>594</v>
      </c>
      <c r="B211" s="80">
        <v>14400</v>
      </c>
      <c r="C211" s="80">
        <v>14400</v>
      </c>
      <c r="D211" s="79">
        <f>B211-C211</f>
        <v>0</v>
      </c>
      <c r="E211" s="7">
        <f>D211/C211</f>
        <v>0</v>
      </c>
    </row>
    <row r="212" spans="1:5" x14ac:dyDescent="0.2">
      <c r="A212" s="54" t="s">
        <v>606</v>
      </c>
      <c r="B212" s="80">
        <v>12000</v>
      </c>
      <c r="C212" s="80">
        <v>12000</v>
      </c>
      <c r="D212" s="79">
        <f>B212-C212</f>
        <v>0</v>
      </c>
      <c r="E212" s="7">
        <f>D212/C212</f>
        <v>0</v>
      </c>
    </row>
    <row r="213" spans="1:5" x14ac:dyDescent="0.2">
      <c r="A213" s="54" t="s">
        <v>607</v>
      </c>
      <c r="B213" s="80">
        <v>40000</v>
      </c>
      <c r="C213" s="80">
        <v>40000</v>
      </c>
      <c r="D213" s="79">
        <f>B213-C213</f>
        <v>0</v>
      </c>
      <c r="E213" s="7">
        <f>D213/C213</f>
        <v>0</v>
      </c>
    </row>
    <row r="214" spans="1:5" ht="13.5" thickBot="1" x14ac:dyDescent="0.25">
      <c r="A214" s="55" t="s">
        <v>197</v>
      </c>
      <c r="B214" s="80">
        <v>95600</v>
      </c>
      <c r="C214" s="80">
        <v>95600</v>
      </c>
      <c r="D214" s="79">
        <f>B214-C214</f>
        <v>0</v>
      </c>
      <c r="E214" s="7">
        <f>D214/C214</f>
        <v>0</v>
      </c>
    </row>
    <row r="215" spans="1:5" ht="13.5" thickBot="1" x14ac:dyDescent="0.25">
      <c r="A215" s="58" t="s">
        <v>634</v>
      </c>
      <c r="B215" s="83">
        <f>SUM(B211:B214)</f>
        <v>162000</v>
      </c>
      <c r="C215" s="83">
        <f>SUM(C211:C214)</f>
        <v>162000</v>
      </c>
      <c r="D215" s="83">
        <f>B215-C215</f>
        <v>0</v>
      </c>
      <c r="E215" s="10">
        <f>(B215-C215)/C215</f>
        <v>0</v>
      </c>
    </row>
    <row r="216" spans="1:5" ht="13.5" thickBot="1" x14ac:dyDescent="0.25">
      <c r="A216" s="59"/>
      <c r="B216" s="84"/>
      <c r="C216" s="84"/>
      <c r="D216" s="84"/>
      <c r="E216" s="11"/>
    </row>
    <row r="217" spans="1:5" x14ac:dyDescent="0.2">
      <c r="A217" s="52" t="s">
        <v>482</v>
      </c>
      <c r="B217" s="78"/>
      <c r="C217" s="78"/>
      <c r="D217" s="78"/>
      <c r="E217" s="3"/>
    </row>
    <row r="218" spans="1:5" x14ac:dyDescent="0.2">
      <c r="A218" s="54" t="s">
        <v>132</v>
      </c>
      <c r="B218" s="80">
        <v>3000</v>
      </c>
      <c r="C218" s="80">
        <v>3000</v>
      </c>
      <c r="D218" s="79">
        <f t="shared" ref="D218:D224" si="21">B218-C218</f>
        <v>0</v>
      </c>
      <c r="E218" s="7">
        <f t="shared" ref="E218:E224" si="22">D218/C218</f>
        <v>0</v>
      </c>
    </row>
    <row r="219" spans="1:5" x14ac:dyDescent="0.2">
      <c r="A219" s="54" t="s">
        <v>133</v>
      </c>
      <c r="B219" s="80">
        <v>3500</v>
      </c>
      <c r="C219" s="80">
        <v>3500</v>
      </c>
      <c r="D219" s="79">
        <f t="shared" si="21"/>
        <v>0</v>
      </c>
      <c r="E219" s="7">
        <f t="shared" si="22"/>
        <v>0</v>
      </c>
    </row>
    <row r="220" spans="1:5" x14ac:dyDescent="0.2">
      <c r="A220" s="54" t="s">
        <v>134</v>
      </c>
      <c r="B220" s="80">
        <v>500</v>
      </c>
      <c r="C220" s="80">
        <v>500</v>
      </c>
      <c r="D220" s="79">
        <f t="shared" si="21"/>
        <v>0</v>
      </c>
      <c r="E220" s="7">
        <f t="shared" si="22"/>
        <v>0</v>
      </c>
    </row>
    <row r="221" spans="1:5" x14ac:dyDescent="0.2">
      <c r="A221" s="54" t="s">
        <v>135</v>
      </c>
      <c r="B221" s="80">
        <v>8000</v>
      </c>
      <c r="C221" s="80">
        <v>8000</v>
      </c>
      <c r="D221" s="79">
        <f t="shared" si="21"/>
        <v>0</v>
      </c>
      <c r="E221" s="7">
        <f t="shared" si="22"/>
        <v>0</v>
      </c>
    </row>
    <row r="222" spans="1:5" x14ac:dyDescent="0.2">
      <c r="A222" s="54" t="s">
        <v>136</v>
      </c>
      <c r="B222" s="80">
        <v>5000</v>
      </c>
      <c r="C222" s="80">
        <v>5000</v>
      </c>
      <c r="D222" s="79">
        <f t="shared" si="21"/>
        <v>0</v>
      </c>
      <c r="E222" s="7">
        <f t="shared" si="22"/>
        <v>0</v>
      </c>
    </row>
    <row r="223" spans="1:5" x14ac:dyDescent="0.2">
      <c r="A223" s="54" t="s">
        <v>137</v>
      </c>
      <c r="B223" s="80">
        <v>6000</v>
      </c>
      <c r="C223" s="80">
        <v>6000</v>
      </c>
      <c r="D223" s="79">
        <f t="shared" si="21"/>
        <v>0</v>
      </c>
      <c r="E223" s="7">
        <f t="shared" si="22"/>
        <v>0</v>
      </c>
    </row>
    <row r="224" spans="1:5" x14ac:dyDescent="0.2">
      <c r="A224" s="54" t="s">
        <v>138</v>
      </c>
      <c r="B224" s="80">
        <v>1000</v>
      </c>
      <c r="C224" s="80">
        <v>1000</v>
      </c>
      <c r="D224" s="79">
        <f t="shared" si="21"/>
        <v>0</v>
      </c>
      <c r="E224" s="7">
        <f t="shared" si="22"/>
        <v>0</v>
      </c>
    </row>
    <row r="225" spans="1:5" ht="13.5" thickBot="1" x14ac:dyDescent="0.25">
      <c r="A225" s="55"/>
      <c r="B225" s="80"/>
      <c r="C225" s="80"/>
      <c r="D225" s="80"/>
      <c r="E225" s="5"/>
    </row>
    <row r="226" spans="1:5" s="61" customFormat="1" ht="13.5" thickBot="1" x14ac:dyDescent="0.25">
      <c r="A226" s="60" t="s">
        <v>525</v>
      </c>
      <c r="B226" s="89">
        <v>-10000</v>
      </c>
      <c r="C226" s="89">
        <v>-10000</v>
      </c>
      <c r="D226" s="89">
        <f>B226-C226</f>
        <v>0</v>
      </c>
      <c r="E226" s="10">
        <f>(B226-C226)/C226</f>
        <v>0</v>
      </c>
    </row>
    <row r="227" spans="1:5" ht="13.5" thickBot="1" x14ac:dyDescent="0.25">
      <c r="A227" s="58" t="s">
        <v>521</v>
      </c>
      <c r="B227" s="83">
        <f>SUM(B218:B226)</f>
        <v>17000</v>
      </c>
      <c r="C227" s="83">
        <f>SUM(C218:C226)</f>
        <v>17000</v>
      </c>
      <c r="D227" s="83">
        <f>B227-C227</f>
        <v>0</v>
      </c>
      <c r="E227" s="10">
        <f>(B227-C227)/C227</f>
        <v>0</v>
      </c>
    </row>
    <row r="228" spans="1:5" ht="13.5" thickBot="1" x14ac:dyDescent="0.25">
      <c r="A228" s="59"/>
      <c r="B228" s="84"/>
      <c r="C228" s="84"/>
      <c r="D228" s="84"/>
      <c r="E228" s="11"/>
    </row>
    <row r="229" spans="1:5" x14ac:dyDescent="0.2">
      <c r="A229" s="52" t="s">
        <v>483</v>
      </c>
      <c r="B229" s="78"/>
      <c r="C229" s="78"/>
      <c r="D229" s="78"/>
      <c r="E229" s="3"/>
    </row>
    <row r="230" spans="1:5" x14ac:dyDescent="0.2">
      <c r="A230" s="53" t="s">
        <v>139</v>
      </c>
      <c r="B230" s="79"/>
      <c r="C230" s="79"/>
      <c r="D230" s="79"/>
      <c r="E230" s="7"/>
    </row>
    <row r="231" spans="1:5" x14ac:dyDescent="0.2">
      <c r="A231" s="54" t="s">
        <v>700</v>
      </c>
      <c r="B231" s="80">
        <v>670000</v>
      </c>
      <c r="C231" s="80"/>
      <c r="D231" s="79">
        <f>B231-C231</f>
        <v>670000</v>
      </c>
      <c r="E231" s="7"/>
    </row>
    <row r="232" spans="1:5" x14ac:dyDescent="0.2">
      <c r="A232" s="54" t="s">
        <v>690</v>
      </c>
      <c r="B232" s="80">
        <v>4930000</v>
      </c>
      <c r="C232" s="80">
        <v>5300000</v>
      </c>
      <c r="D232" s="79">
        <f>B232-C232</f>
        <v>-370000</v>
      </c>
      <c r="E232" s="7">
        <f>D232/C232</f>
        <v>-6.981132075471698E-2</v>
      </c>
    </row>
    <row r="233" spans="1:5" x14ac:dyDescent="0.2">
      <c r="A233" s="54" t="s">
        <v>630</v>
      </c>
      <c r="B233" s="80">
        <f>(B232+B234+B235+B231)*0.22</f>
        <v>614900</v>
      </c>
      <c r="C233" s="80">
        <f>(C232+C234+C235)*0.21</f>
        <v>680400</v>
      </c>
      <c r="D233" s="79">
        <f>B233-C233</f>
        <v>-65500</v>
      </c>
      <c r="E233" s="7">
        <f>D233/C233</f>
        <v>-9.6266901822457382E-2</v>
      </c>
    </row>
    <row r="234" spans="1:5" s="61" customFormat="1" x14ac:dyDescent="0.2">
      <c r="A234" s="71" t="s">
        <v>615</v>
      </c>
      <c r="B234" s="90">
        <v>-865000</v>
      </c>
      <c r="C234" s="90">
        <v>-730000</v>
      </c>
      <c r="D234" s="90">
        <f>B234-C234</f>
        <v>-135000</v>
      </c>
      <c r="E234" s="7">
        <f>D234/C234</f>
        <v>0.18493150684931506</v>
      </c>
    </row>
    <row r="235" spans="1:5" s="61" customFormat="1" ht="13.5" thickBot="1" x14ac:dyDescent="0.25">
      <c r="A235" s="62" t="s">
        <v>613</v>
      </c>
      <c r="B235" s="90">
        <v>-1940000</v>
      </c>
      <c r="C235" s="90">
        <v>-1330000</v>
      </c>
      <c r="D235" s="90">
        <f>B235-C235</f>
        <v>-610000</v>
      </c>
      <c r="E235" s="7">
        <f>D235/C235</f>
        <v>0.45864661654135336</v>
      </c>
    </row>
    <row r="236" spans="1:5" x14ac:dyDescent="0.2">
      <c r="A236" s="53" t="s">
        <v>141</v>
      </c>
      <c r="B236" s="81">
        <f>SUM(B231:B235)</f>
        <v>3409900</v>
      </c>
      <c r="C236" s="81">
        <f>SUM(C231:C235)</f>
        <v>3920400</v>
      </c>
      <c r="D236" s="81">
        <f>SUM(D231:D235)</f>
        <v>-510500</v>
      </c>
      <c r="E236" s="8">
        <f>(B236-C236)/C236</f>
        <v>-0.1302163044587287</v>
      </c>
    </row>
    <row r="237" spans="1:5" x14ac:dyDescent="0.2">
      <c r="A237" s="56"/>
      <c r="B237" s="82"/>
      <c r="C237" s="82"/>
      <c r="D237" s="82"/>
      <c r="E237" s="9"/>
    </row>
    <row r="238" spans="1:5" x14ac:dyDescent="0.2">
      <c r="A238" s="53" t="s">
        <v>88</v>
      </c>
      <c r="B238" s="79"/>
      <c r="C238" s="79"/>
      <c r="D238" s="79"/>
      <c r="E238" s="7"/>
    </row>
    <row r="239" spans="1:5" x14ac:dyDescent="0.2">
      <c r="A239" s="54" t="s">
        <v>461</v>
      </c>
      <c r="B239" s="79">
        <v>39000</v>
      </c>
      <c r="C239" s="79">
        <f>39000*1.09</f>
        <v>42510</v>
      </c>
      <c r="D239" s="79">
        <f t="shared" ref="D239:D247" si="23">B239-C239</f>
        <v>-3510</v>
      </c>
      <c r="E239" s="7">
        <f t="shared" ref="E239:E246" si="24">D239/C239</f>
        <v>-8.2568807339449546E-2</v>
      </c>
    </row>
    <row r="240" spans="1:5" x14ac:dyDescent="0.2">
      <c r="A240" s="54" t="s">
        <v>616</v>
      </c>
      <c r="B240" s="79">
        <v>7200</v>
      </c>
      <c r="C240" s="79">
        <v>7200</v>
      </c>
      <c r="D240" s="79">
        <f t="shared" si="23"/>
        <v>0</v>
      </c>
      <c r="E240" s="7">
        <f t="shared" si="24"/>
        <v>0</v>
      </c>
    </row>
    <row r="241" spans="1:5" x14ac:dyDescent="0.2">
      <c r="A241" s="54" t="s">
        <v>462</v>
      </c>
      <c r="B241" s="79">
        <v>500</v>
      </c>
      <c r="C241" s="79">
        <v>500</v>
      </c>
      <c r="D241" s="79">
        <f t="shared" si="23"/>
        <v>0</v>
      </c>
      <c r="E241" s="7">
        <f t="shared" si="24"/>
        <v>0</v>
      </c>
    </row>
    <row r="242" spans="1:5" x14ac:dyDescent="0.2">
      <c r="A242" s="54" t="s">
        <v>463</v>
      </c>
      <c r="B242" s="79">
        <v>500</v>
      </c>
      <c r="C242" s="79">
        <v>500</v>
      </c>
      <c r="D242" s="79">
        <f t="shared" si="23"/>
        <v>0</v>
      </c>
      <c r="E242" s="7">
        <f t="shared" si="24"/>
        <v>0</v>
      </c>
    </row>
    <row r="243" spans="1:5" x14ac:dyDescent="0.2">
      <c r="A243" s="54" t="s">
        <v>582</v>
      </c>
      <c r="B243" s="79">
        <v>10000</v>
      </c>
      <c r="C243" s="79">
        <v>10000</v>
      </c>
      <c r="D243" s="79">
        <f t="shared" si="23"/>
        <v>0</v>
      </c>
      <c r="E243" s="7">
        <f t="shared" si="24"/>
        <v>0</v>
      </c>
    </row>
    <row r="244" spans="1:5" x14ac:dyDescent="0.2">
      <c r="A244" s="54" t="s">
        <v>464</v>
      </c>
      <c r="B244" s="79">
        <v>7000</v>
      </c>
      <c r="C244" s="79">
        <v>7000</v>
      </c>
      <c r="D244" s="79">
        <f t="shared" si="23"/>
        <v>0</v>
      </c>
      <c r="E244" s="7">
        <f t="shared" si="24"/>
        <v>0</v>
      </c>
    </row>
    <row r="245" spans="1:5" x14ac:dyDescent="0.2">
      <c r="A245" s="54" t="s">
        <v>465</v>
      </c>
      <c r="B245" s="79">
        <v>8000</v>
      </c>
      <c r="C245" s="79">
        <v>8000</v>
      </c>
      <c r="D245" s="79">
        <f t="shared" si="23"/>
        <v>0</v>
      </c>
      <c r="E245" s="7">
        <f t="shared" si="24"/>
        <v>0</v>
      </c>
    </row>
    <row r="246" spans="1:5" ht="13.5" thickBot="1" x14ac:dyDescent="0.25">
      <c r="A246" s="55" t="s">
        <v>466</v>
      </c>
      <c r="B246" s="79">
        <v>5000</v>
      </c>
      <c r="C246" s="79">
        <v>10000</v>
      </c>
      <c r="D246" s="79">
        <f t="shared" si="23"/>
        <v>-5000</v>
      </c>
      <c r="E246" s="7">
        <f t="shared" si="24"/>
        <v>-0.5</v>
      </c>
    </row>
    <row r="247" spans="1:5" x14ac:dyDescent="0.2">
      <c r="A247" s="53" t="s">
        <v>90</v>
      </c>
      <c r="B247" s="81">
        <f>SUM(B239:B246)</f>
        <v>77200</v>
      </c>
      <c r="C247" s="81">
        <f>SUM(C239:C246)</f>
        <v>85710</v>
      </c>
      <c r="D247" s="81">
        <f t="shared" si="23"/>
        <v>-8510</v>
      </c>
      <c r="E247" s="8">
        <f>(B247-C247)/C247</f>
        <v>-9.9288297748220747E-2</v>
      </c>
    </row>
    <row r="248" spans="1:5" x14ac:dyDescent="0.2">
      <c r="A248" s="56"/>
      <c r="B248" s="82"/>
      <c r="C248" s="82"/>
      <c r="D248" s="82"/>
      <c r="E248" s="9"/>
    </row>
    <row r="249" spans="1:5" x14ac:dyDescent="0.2">
      <c r="A249" s="53" t="s">
        <v>142</v>
      </c>
      <c r="B249" s="79"/>
      <c r="C249" s="79"/>
      <c r="D249" s="79">
        <f t="shared" ref="D249:D254" si="25">B249-C249</f>
        <v>0</v>
      </c>
      <c r="E249" s="7" t="e">
        <f>D249/C249</f>
        <v>#DIV/0!</v>
      </c>
    </row>
    <row r="250" spans="1:5" x14ac:dyDescent="0.2">
      <c r="A250" s="54" t="s">
        <v>467</v>
      </c>
      <c r="B250" s="79">
        <f>9000*12</f>
        <v>108000</v>
      </c>
      <c r="C250" s="79">
        <f>9000*12</f>
        <v>108000</v>
      </c>
      <c r="D250" s="79">
        <f t="shared" si="25"/>
        <v>0</v>
      </c>
      <c r="E250" s="7">
        <f>D250/C250</f>
        <v>0</v>
      </c>
    </row>
    <row r="251" spans="1:5" x14ac:dyDescent="0.2">
      <c r="A251" s="54" t="s">
        <v>468</v>
      </c>
      <c r="B251" s="79">
        <v>5000</v>
      </c>
      <c r="C251" s="79"/>
      <c r="D251" s="79">
        <f t="shared" si="25"/>
        <v>5000</v>
      </c>
      <c r="E251" s="7" t="e">
        <f>D251/C251</f>
        <v>#DIV/0!</v>
      </c>
    </row>
    <row r="252" spans="1:5" x14ac:dyDescent="0.2">
      <c r="A252" s="54" t="s">
        <v>469</v>
      </c>
      <c r="B252" s="79">
        <v>14000</v>
      </c>
      <c r="C252" s="79"/>
      <c r="D252" s="79">
        <f t="shared" si="25"/>
        <v>14000</v>
      </c>
      <c r="E252" s="7" t="e">
        <f>D252/C252</f>
        <v>#DIV/0!</v>
      </c>
    </row>
    <row r="253" spans="1:5" ht="13.5" thickBot="1" x14ac:dyDescent="0.25">
      <c r="A253" s="55" t="s">
        <v>470</v>
      </c>
      <c r="B253" s="79">
        <v>7000</v>
      </c>
      <c r="C253" s="79"/>
      <c r="D253" s="79">
        <f t="shared" si="25"/>
        <v>7000</v>
      </c>
      <c r="E253" s="7" t="e">
        <f>D253/C253</f>
        <v>#DIV/0!</v>
      </c>
    </row>
    <row r="254" spans="1:5" x14ac:dyDescent="0.2">
      <c r="A254" s="53" t="s">
        <v>143</v>
      </c>
      <c r="B254" s="81">
        <f>SUM(B250:B253)</f>
        <v>134000</v>
      </c>
      <c r="C254" s="81">
        <f>SUM(C250:C253)</f>
        <v>108000</v>
      </c>
      <c r="D254" s="81">
        <f t="shared" si="25"/>
        <v>26000</v>
      </c>
      <c r="E254" s="8">
        <f>(B254-C254)/C254</f>
        <v>0.24074074074074073</v>
      </c>
    </row>
    <row r="255" spans="1:5" x14ac:dyDescent="0.2">
      <c r="A255" s="56"/>
      <c r="B255" s="82"/>
      <c r="C255" s="82"/>
      <c r="D255" s="82"/>
      <c r="E255" s="9"/>
    </row>
    <row r="256" spans="1:5" x14ac:dyDescent="0.2">
      <c r="A256" s="53" t="s">
        <v>691</v>
      </c>
      <c r="B256" s="79"/>
      <c r="C256" s="79"/>
      <c r="D256" s="79"/>
      <c r="E256" s="7"/>
    </row>
    <row r="257" spans="1:5" x14ac:dyDescent="0.2">
      <c r="A257" s="54" t="s">
        <v>471</v>
      </c>
      <c r="B257" s="79">
        <v>150000</v>
      </c>
      <c r="C257" s="79">
        <v>150000</v>
      </c>
      <c r="D257" s="79">
        <f>B257-C257</f>
        <v>0</v>
      </c>
      <c r="E257" s="7">
        <f>D257/C257</f>
        <v>0</v>
      </c>
    </row>
    <row r="258" spans="1:5" x14ac:dyDescent="0.2">
      <c r="A258" s="54" t="s">
        <v>472</v>
      </c>
      <c r="B258" s="79">
        <v>850000</v>
      </c>
      <c r="C258" s="79">
        <v>850000</v>
      </c>
      <c r="D258" s="79">
        <f>B258-C258</f>
        <v>0</v>
      </c>
      <c r="E258" s="7">
        <f>D258/C258</f>
        <v>0</v>
      </c>
    </row>
    <row r="259" spans="1:5" s="61" customFormat="1" x14ac:dyDescent="0.2">
      <c r="A259" s="71" t="s">
        <v>614</v>
      </c>
      <c r="B259" s="90">
        <f>-170*350*12</f>
        <v>-714000</v>
      </c>
      <c r="C259" s="90">
        <f>-170*350*12</f>
        <v>-714000</v>
      </c>
      <c r="D259" s="90">
        <f>B259-C259</f>
        <v>0</v>
      </c>
      <c r="E259" s="7">
        <f>D259/C259</f>
        <v>0</v>
      </c>
    </row>
    <row r="260" spans="1:5" s="61" customFormat="1" ht="13.5" thickBot="1" x14ac:dyDescent="0.25">
      <c r="A260" s="62" t="s">
        <v>635</v>
      </c>
      <c r="B260" s="90">
        <v>-160000</v>
      </c>
      <c r="C260" s="90">
        <v>-160000</v>
      </c>
      <c r="D260" s="90">
        <f>B260-C260</f>
        <v>0</v>
      </c>
      <c r="E260" s="7">
        <f>D260/C260</f>
        <v>0</v>
      </c>
    </row>
    <row r="261" spans="1:5" x14ac:dyDescent="0.2">
      <c r="A261" s="53" t="s">
        <v>144</v>
      </c>
      <c r="B261" s="81">
        <f>SUM(B257:B260)</f>
        <v>126000</v>
      </c>
      <c r="C261" s="81">
        <f>SUM(C257:C260)</f>
        <v>126000</v>
      </c>
      <c r="D261" s="81">
        <f>B261-C261</f>
        <v>0</v>
      </c>
      <c r="E261" s="8">
        <f>(B261-C261)/C261</f>
        <v>0</v>
      </c>
    </row>
    <row r="262" spans="1:5" x14ac:dyDescent="0.2">
      <c r="A262" s="56"/>
      <c r="B262" s="82"/>
      <c r="C262" s="82"/>
      <c r="D262" s="82"/>
      <c r="E262" s="9"/>
    </row>
    <row r="263" spans="1:5" x14ac:dyDescent="0.2">
      <c r="A263" s="53" t="s">
        <v>145</v>
      </c>
      <c r="B263" s="79"/>
      <c r="C263" s="79"/>
      <c r="D263" s="79"/>
      <c r="E263" s="7"/>
    </row>
    <row r="264" spans="1:5" x14ac:dyDescent="0.2">
      <c r="A264" s="54" t="s">
        <v>473</v>
      </c>
      <c r="B264" s="79">
        <v>20000</v>
      </c>
      <c r="C264" s="79">
        <v>18000</v>
      </c>
      <c r="D264" s="79">
        <f>B264-C264</f>
        <v>2000</v>
      </c>
      <c r="E264" s="7">
        <f>D264/C264</f>
        <v>0.1111111111111111</v>
      </c>
    </row>
    <row r="265" spans="1:5" ht="13.5" thickBot="1" x14ac:dyDescent="0.25">
      <c r="A265" s="55" t="s">
        <v>474</v>
      </c>
      <c r="B265" s="79">
        <v>0</v>
      </c>
      <c r="C265" s="79">
        <v>250</v>
      </c>
      <c r="D265" s="79">
        <f>B265-C265</f>
        <v>-250</v>
      </c>
      <c r="E265" s="7">
        <f>D265/C265</f>
        <v>-1</v>
      </c>
    </row>
    <row r="266" spans="1:5" x14ac:dyDescent="0.2">
      <c r="A266" s="53" t="s">
        <v>146</v>
      </c>
      <c r="B266" s="81">
        <f>SUM(B264:B265)</f>
        <v>20000</v>
      </c>
      <c r="C266" s="81">
        <f>SUM(C264:C265)</f>
        <v>18250</v>
      </c>
      <c r="D266" s="81">
        <f>B266-C266</f>
        <v>1750</v>
      </c>
      <c r="E266" s="8">
        <f>(B266-C266)/C266</f>
        <v>9.5890410958904104E-2</v>
      </c>
    </row>
    <row r="267" spans="1:5" ht="13.5" thickBot="1" x14ac:dyDescent="0.25">
      <c r="A267" s="58"/>
      <c r="B267" s="85"/>
      <c r="C267" s="85"/>
      <c r="D267" s="85"/>
      <c r="E267" s="13"/>
    </row>
    <row r="268" spans="1:5" ht="13.5" thickBot="1" x14ac:dyDescent="0.25">
      <c r="A268" s="58" t="s">
        <v>524</v>
      </c>
      <c r="B268" s="83">
        <f>SUM(B266,B261,B254,B247,B236)</f>
        <v>3767100</v>
      </c>
      <c r="C268" s="83">
        <f>SUM(C266,C261,C254,C247,C236)</f>
        <v>4258360</v>
      </c>
      <c r="D268" s="83">
        <f>B268-C268</f>
        <v>-491260</v>
      </c>
      <c r="E268" s="10">
        <f>(B268-C268)/C268</f>
        <v>-0.1153636611277581</v>
      </c>
    </row>
    <row r="269" spans="1:5" ht="13.5" thickBot="1" x14ac:dyDescent="0.25">
      <c r="A269" s="59"/>
      <c r="B269" s="84"/>
      <c r="C269" s="84"/>
      <c r="D269" s="84"/>
      <c r="E269" s="11"/>
    </row>
    <row r="270" spans="1:5" x14ac:dyDescent="0.2">
      <c r="A270" s="52" t="s">
        <v>484</v>
      </c>
      <c r="B270" s="78"/>
      <c r="C270" s="78"/>
      <c r="D270" s="78"/>
      <c r="E270" s="3"/>
    </row>
    <row r="271" spans="1:5" x14ac:dyDescent="0.2">
      <c r="A271" s="53" t="s">
        <v>0</v>
      </c>
      <c r="B271" s="79"/>
      <c r="C271" s="79"/>
      <c r="D271" s="79"/>
      <c r="E271" s="7"/>
    </row>
    <row r="272" spans="1:5" ht="13.5" thickBot="1" x14ac:dyDescent="0.25">
      <c r="A272" s="55" t="s">
        <v>147</v>
      </c>
      <c r="B272" s="80">
        <v>217827</v>
      </c>
      <c r="C272" s="80">
        <v>212451</v>
      </c>
      <c r="D272" s="79">
        <f>B272-C272</f>
        <v>5376</v>
      </c>
      <c r="E272" s="7">
        <f>D272/C272</f>
        <v>2.5304658485956762E-2</v>
      </c>
    </row>
    <row r="273" spans="1:5" ht="13.5" thickBot="1" x14ac:dyDescent="0.25">
      <c r="A273" s="58" t="s">
        <v>522</v>
      </c>
      <c r="B273" s="83">
        <f>SUM(B272)</f>
        <v>217827</v>
      </c>
      <c r="C273" s="83">
        <f>SUM(C272)</f>
        <v>212451</v>
      </c>
      <c r="D273" s="83">
        <f>B273-C273</f>
        <v>5376</v>
      </c>
      <c r="E273" s="10">
        <f>(B273-C273)/C273</f>
        <v>2.5304658485956762E-2</v>
      </c>
    </row>
    <row r="274" spans="1:5" ht="13.5" thickBot="1" x14ac:dyDescent="0.25">
      <c r="A274" s="59"/>
      <c r="B274" s="84"/>
      <c r="C274" s="84"/>
      <c r="D274" s="84"/>
      <c r="E274" s="11"/>
    </row>
    <row r="275" spans="1:5" ht="13.5" thickBot="1" x14ac:dyDescent="0.25">
      <c r="A275" s="63" t="s">
        <v>523</v>
      </c>
      <c r="B275" s="84">
        <f>SUM(B272,B268,B227,B208,B190,B147,B140,B127,B215)</f>
        <v>6169761</v>
      </c>
      <c r="C275" s="84">
        <f>SUM(C272,C268,C227,C208,C190,C147,C140,C127,C215)</f>
        <v>6659875</v>
      </c>
      <c r="D275" s="84">
        <f>B275-C275</f>
        <v>-490114</v>
      </c>
      <c r="E275" s="11">
        <f>(B275-C275)/C275</f>
        <v>-7.3592071923271829E-2</v>
      </c>
    </row>
    <row r="276" spans="1:5" x14ac:dyDescent="0.2">
      <c r="A276" s="52"/>
      <c r="B276" s="82"/>
      <c r="C276" s="82"/>
      <c r="D276" s="82"/>
      <c r="E276" s="9"/>
    </row>
    <row r="277" spans="1:5" ht="12" customHeight="1" thickBot="1" x14ac:dyDescent="0.25">
      <c r="A277" s="57"/>
      <c r="B277" s="77"/>
      <c r="C277" s="77"/>
      <c r="D277" s="77"/>
      <c r="E277" s="6"/>
    </row>
    <row r="278" spans="1:5" ht="12" customHeight="1" thickBot="1" x14ac:dyDescent="0.25">
      <c r="A278" s="51" t="s">
        <v>526</v>
      </c>
      <c r="B278" s="91"/>
      <c r="C278" s="91"/>
      <c r="D278" s="91"/>
      <c r="E278" s="6"/>
    </row>
    <row r="279" spans="1:5" x14ac:dyDescent="0.2">
      <c r="A279" s="52" t="s">
        <v>485</v>
      </c>
      <c r="B279" s="78"/>
      <c r="C279" s="78"/>
      <c r="D279" s="78"/>
      <c r="E279" s="3"/>
    </row>
    <row r="280" spans="1:5" x14ac:dyDescent="0.2">
      <c r="A280" s="53" t="s">
        <v>0</v>
      </c>
      <c r="B280" s="92"/>
      <c r="C280" s="92"/>
      <c r="D280" s="92"/>
      <c r="E280" s="7"/>
    </row>
    <row r="281" spans="1:5" ht="13.5" thickBot="1" x14ac:dyDescent="0.25">
      <c r="A281" s="55" t="s">
        <v>148</v>
      </c>
      <c r="B281" s="80">
        <v>735551</v>
      </c>
      <c r="C281" s="80">
        <v>717399</v>
      </c>
      <c r="D281" s="79">
        <f>B281-C281</f>
        <v>18152</v>
      </c>
      <c r="E281" s="7">
        <f>D281/C281</f>
        <v>2.5302516451793215E-2</v>
      </c>
    </row>
    <row r="282" spans="1:5" ht="13.5" thickBot="1" x14ac:dyDescent="0.25">
      <c r="A282" s="58" t="s">
        <v>527</v>
      </c>
      <c r="B282" s="83">
        <f>SUM(B281)</f>
        <v>735551</v>
      </c>
      <c r="C282" s="83">
        <f>SUM(C281)</f>
        <v>717399</v>
      </c>
      <c r="D282" s="83">
        <f>B282-C282</f>
        <v>18152</v>
      </c>
      <c r="E282" s="10">
        <f>(B282-C282)/C282</f>
        <v>2.5302516451793215E-2</v>
      </c>
    </row>
    <row r="283" spans="1:5" ht="13.5" thickBot="1" x14ac:dyDescent="0.25">
      <c r="A283" s="59"/>
      <c r="B283" s="88"/>
      <c r="C283" s="88"/>
      <c r="D283" s="88"/>
      <c r="E283" s="12"/>
    </row>
    <row r="284" spans="1:5" x14ac:dyDescent="0.2">
      <c r="A284" s="52" t="s">
        <v>486</v>
      </c>
      <c r="B284" s="79"/>
      <c r="C284" s="79"/>
      <c r="D284" s="79"/>
      <c r="E284" s="7"/>
    </row>
    <row r="285" spans="1:5" ht="13.5" thickBot="1" x14ac:dyDescent="0.25">
      <c r="A285" s="55" t="s">
        <v>149</v>
      </c>
      <c r="B285" s="80">
        <v>85000</v>
      </c>
      <c r="C285" s="80">
        <v>75000</v>
      </c>
      <c r="D285" s="79">
        <f>B285-C285</f>
        <v>10000</v>
      </c>
      <c r="E285" s="7">
        <f>D285/C285</f>
        <v>0.13333333333333333</v>
      </c>
    </row>
    <row r="286" spans="1:5" ht="13.5" thickBot="1" x14ac:dyDescent="0.25">
      <c r="A286" s="58" t="s">
        <v>528</v>
      </c>
      <c r="B286" s="83">
        <f>B285</f>
        <v>85000</v>
      </c>
      <c r="C286" s="83">
        <f>C285</f>
        <v>75000</v>
      </c>
      <c r="D286" s="83">
        <f>B286-C286</f>
        <v>10000</v>
      </c>
      <c r="E286" s="10">
        <f>(B286-C286)/C286</f>
        <v>0.13333333333333333</v>
      </c>
    </row>
    <row r="287" spans="1:5" ht="13.5" thickBot="1" x14ac:dyDescent="0.25">
      <c r="A287" s="59"/>
      <c r="B287" s="88"/>
      <c r="C287" s="88"/>
      <c r="D287" s="88"/>
      <c r="E287" s="12"/>
    </row>
    <row r="288" spans="1:5" x14ac:dyDescent="0.2">
      <c r="A288" s="52" t="s">
        <v>487</v>
      </c>
      <c r="B288" s="79"/>
      <c r="C288" s="79"/>
      <c r="D288" s="79"/>
      <c r="E288" s="7"/>
    </row>
    <row r="289" spans="1:5" x14ac:dyDescent="0.2">
      <c r="A289" s="53" t="s">
        <v>124</v>
      </c>
      <c r="B289" s="79"/>
      <c r="C289" s="79"/>
      <c r="D289" s="79"/>
      <c r="E289" s="7"/>
    </row>
    <row r="290" spans="1:5" x14ac:dyDescent="0.2">
      <c r="A290" s="54" t="s">
        <v>585</v>
      </c>
      <c r="B290" s="80">
        <v>0</v>
      </c>
      <c r="C290" s="80">
        <v>51000</v>
      </c>
      <c r="D290" s="79">
        <f t="shared" ref="D290:D301" si="26">B290-C290</f>
        <v>-51000</v>
      </c>
      <c r="E290" s="7">
        <f t="shared" ref="E290:E300" si="27">D290/C290</f>
        <v>-1</v>
      </c>
    </row>
    <row r="291" spans="1:5" x14ac:dyDescent="0.2">
      <c r="A291" s="54" t="s">
        <v>611</v>
      </c>
      <c r="B291" s="80">
        <v>0</v>
      </c>
      <c r="C291" s="80">
        <v>10200</v>
      </c>
      <c r="D291" s="79">
        <f t="shared" si="26"/>
        <v>-10200</v>
      </c>
      <c r="E291" s="7">
        <f t="shared" si="27"/>
        <v>-1</v>
      </c>
    </row>
    <row r="292" spans="1:5" x14ac:dyDescent="0.2">
      <c r="A292" s="54" t="s">
        <v>98</v>
      </c>
      <c r="B292" s="80">
        <v>3000</v>
      </c>
      <c r="C292" s="80">
        <v>2500</v>
      </c>
      <c r="D292" s="79">
        <f t="shared" si="26"/>
        <v>500</v>
      </c>
      <c r="E292" s="7">
        <f t="shared" si="27"/>
        <v>0.2</v>
      </c>
    </row>
    <row r="293" spans="1:5" x14ac:dyDescent="0.2">
      <c r="A293" s="54" t="s">
        <v>584</v>
      </c>
      <c r="B293" s="80">
        <v>15000</v>
      </c>
      <c r="C293" s="80">
        <v>15000</v>
      </c>
      <c r="D293" s="79">
        <f t="shared" si="26"/>
        <v>0</v>
      </c>
      <c r="E293" s="7">
        <f t="shared" si="27"/>
        <v>0</v>
      </c>
    </row>
    <row r="294" spans="1:5" x14ac:dyDescent="0.2">
      <c r="A294" s="54" t="s">
        <v>629</v>
      </c>
      <c r="B294" s="80">
        <v>10000</v>
      </c>
      <c r="C294" s="80">
        <v>10000</v>
      </c>
      <c r="D294" s="79">
        <f t="shared" si="26"/>
        <v>0</v>
      </c>
      <c r="E294" s="7">
        <f t="shared" si="27"/>
        <v>0</v>
      </c>
    </row>
    <row r="295" spans="1:5" x14ac:dyDescent="0.2">
      <c r="A295" s="54" t="s">
        <v>574</v>
      </c>
      <c r="B295" s="80">
        <v>12000</v>
      </c>
      <c r="C295" s="80">
        <v>12000</v>
      </c>
      <c r="D295" s="79">
        <f t="shared" si="26"/>
        <v>0</v>
      </c>
      <c r="E295" s="7">
        <f t="shared" si="27"/>
        <v>0</v>
      </c>
    </row>
    <row r="296" spans="1:5" x14ac:dyDescent="0.2">
      <c r="A296" s="54" t="s">
        <v>572</v>
      </c>
      <c r="B296" s="80">
        <v>20000</v>
      </c>
      <c r="C296" s="80">
        <v>20000</v>
      </c>
      <c r="D296" s="79">
        <f t="shared" si="26"/>
        <v>0</v>
      </c>
      <c r="E296" s="7">
        <f t="shared" si="27"/>
        <v>0</v>
      </c>
    </row>
    <row r="297" spans="1:5" x14ac:dyDescent="0.2">
      <c r="A297" s="54" t="s">
        <v>573</v>
      </c>
      <c r="B297" s="80">
        <v>5000</v>
      </c>
      <c r="C297" s="80">
        <v>2500</v>
      </c>
      <c r="D297" s="79">
        <f t="shared" si="26"/>
        <v>2500</v>
      </c>
      <c r="E297" s="7">
        <f t="shared" si="27"/>
        <v>1</v>
      </c>
    </row>
    <row r="298" spans="1:5" x14ac:dyDescent="0.2">
      <c r="A298" s="54" t="s">
        <v>592</v>
      </c>
      <c r="B298" s="80">
        <v>11000</v>
      </c>
      <c r="C298" s="80">
        <v>11000</v>
      </c>
      <c r="D298" s="79">
        <f t="shared" si="26"/>
        <v>0</v>
      </c>
      <c r="E298" s="7">
        <f t="shared" si="27"/>
        <v>0</v>
      </c>
    </row>
    <row r="299" spans="1:5" x14ac:dyDescent="0.2">
      <c r="A299" s="54" t="s">
        <v>583</v>
      </c>
      <c r="B299" s="80">
        <v>15000</v>
      </c>
      <c r="C299" s="80">
        <v>10000</v>
      </c>
      <c r="D299" s="79">
        <f t="shared" si="26"/>
        <v>5000</v>
      </c>
      <c r="E299" s="7">
        <f t="shared" si="27"/>
        <v>0.5</v>
      </c>
    </row>
    <row r="300" spans="1:5" ht="13.5" thickBot="1" x14ac:dyDescent="0.25">
      <c r="A300" s="55" t="s">
        <v>593</v>
      </c>
      <c r="B300" s="80">
        <v>9000</v>
      </c>
      <c r="C300" s="80">
        <v>4000</v>
      </c>
      <c r="D300" s="79">
        <f t="shared" si="26"/>
        <v>5000</v>
      </c>
      <c r="E300" s="7">
        <f t="shared" si="27"/>
        <v>1.25</v>
      </c>
    </row>
    <row r="301" spans="1:5" ht="13.5" thickBot="1" x14ac:dyDescent="0.25">
      <c r="A301" s="53" t="s">
        <v>529</v>
      </c>
      <c r="B301" s="81">
        <f>SUM(B290:B300)</f>
        <v>100000</v>
      </c>
      <c r="C301" s="81">
        <f>SUM(C290:C300)</f>
        <v>148200</v>
      </c>
      <c r="D301" s="81">
        <f t="shared" si="26"/>
        <v>-48200</v>
      </c>
      <c r="E301" s="8">
        <f>(B301-C301)/C301</f>
        <v>-0.32523616734143052</v>
      </c>
    </row>
    <row r="302" spans="1:5" ht="13.5" thickBot="1" x14ac:dyDescent="0.25">
      <c r="A302" s="59"/>
      <c r="B302" s="88"/>
      <c r="C302" s="88"/>
      <c r="D302" s="88"/>
      <c r="E302" s="12"/>
    </row>
    <row r="303" spans="1:5" x14ac:dyDescent="0.2">
      <c r="A303" s="52" t="s">
        <v>488</v>
      </c>
      <c r="B303" s="79"/>
      <c r="C303" s="79"/>
      <c r="D303" s="79"/>
      <c r="E303" s="7"/>
    </row>
    <row r="304" spans="1:5" x14ac:dyDescent="0.2">
      <c r="A304" s="53" t="s">
        <v>88</v>
      </c>
      <c r="B304" s="79"/>
      <c r="C304" s="79"/>
      <c r="D304" s="79"/>
      <c r="E304" s="7"/>
    </row>
    <row r="305" spans="1:5" x14ac:dyDescent="0.2">
      <c r="A305" s="54" t="s">
        <v>150</v>
      </c>
      <c r="B305" s="80">
        <v>6000</v>
      </c>
      <c r="C305" s="80">
        <v>6000</v>
      </c>
      <c r="D305" s="79">
        <f t="shared" ref="D305:D315" si="28">B305-C305</f>
        <v>0</v>
      </c>
      <c r="E305" s="7">
        <f t="shared" ref="E305:E314" si="29">D305/C305</f>
        <v>0</v>
      </c>
    </row>
    <row r="306" spans="1:5" x14ac:dyDescent="0.2">
      <c r="A306" s="54" t="s">
        <v>151</v>
      </c>
      <c r="B306" s="80">
        <v>1000</v>
      </c>
      <c r="C306" s="80">
        <v>1000</v>
      </c>
      <c r="D306" s="79">
        <f t="shared" si="28"/>
        <v>0</v>
      </c>
      <c r="E306" s="7">
        <f t="shared" si="29"/>
        <v>0</v>
      </c>
    </row>
    <row r="307" spans="1:5" x14ac:dyDescent="0.2">
      <c r="A307" s="54" t="s">
        <v>152</v>
      </c>
      <c r="B307" s="80">
        <v>2000</v>
      </c>
      <c r="C307" s="80">
        <v>2000</v>
      </c>
      <c r="D307" s="79">
        <f t="shared" si="28"/>
        <v>0</v>
      </c>
      <c r="E307" s="7">
        <f t="shared" si="29"/>
        <v>0</v>
      </c>
    </row>
    <row r="308" spans="1:5" x14ac:dyDescent="0.2">
      <c r="A308" s="54" t="s">
        <v>153</v>
      </c>
      <c r="B308" s="80">
        <v>15000</v>
      </c>
      <c r="C308" s="80">
        <v>15000</v>
      </c>
      <c r="D308" s="79">
        <f t="shared" si="28"/>
        <v>0</v>
      </c>
      <c r="E308" s="7">
        <f t="shared" si="29"/>
        <v>0</v>
      </c>
    </row>
    <row r="309" spans="1:5" x14ac:dyDescent="0.2">
      <c r="A309" s="54" t="s">
        <v>154</v>
      </c>
      <c r="B309" s="80">
        <v>2000</v>
      </c>
      <c r="C309" s="80">
        <v>2000</v>
      </c>
      <c r="D309" s="79">
        <f t="shared" si="28"/>
        <v>0</v>
      </c>
      <c r="E309" s="7">
        <f t="shared" si="29"/>
        <v>0</v>
      </c>
    </row>
    <row r="310" spans="1:5" x14ac:dyDescent="0.2">
      <c r="A310" s="54" t="s">
        <v>155</v>
      </c>
      <c r="B310" s="80">
        <v>20000</v>
      </c>
      <c r="C310" s="80">
        <v>20000</v>
      </c>
      <c r="D310" s="79">
        <f t="shared" si="28"/>
        <v>0</v>
      </c>
      <c r="E310" s="7">
        <f t="shared" si="29"/>
        <v>0</v>
      </c>
    </row>
    <row r="311" spans="1:5" x14ac:dyDescent="0.2">
      <c r="A311" s="54" t="s">
        <v>156</v>
      </c>
      <c r="B311" s="80">
        <v>8000</v>
      </c>
      <c r="C311" s="80">
        <v>8000</v>
      </c>
      <c r="D311" s="79">
        <f t="shared" si="28"/>
        <v>0</v>
      </c>
      <c r="E311" s="7">
        <f t="shared" si="29"/>
        <v>0</v>
      </c>
    </row>
    <row r="312" spans="1:5" x14ac:dyDescent="0.2">
      <c r="A312" s="54" t="s">
        <v>157</v>
      </c>
      <c r="B312" s="80">
        <v>1000</v>
      </c>
      <c r="C312" s="80">
        <v>1000</v>
      </c>
      <c r="D312" s="79">
        <f t="shared" si="28"/>
        <v>0</v>
      </c>
      <c r="E312" s="7">
        <f t="shared" si="29"/>
        <v>0</v>
      </c>
    </row>
    <row r="313" spans="1:5" x14ac:dyDescent="0.2">
      <c r="A313" s="54" t="s">
        <v>696</v>
      </c>
      <c r="B313" s="80">
        <v>20000</v>
      </c>
      <c r="C313" s="80"/>
      <c r="D313" s="79">
        <f t="shared" si="28"/>
        <v>20000</v>
      </c>
      <c r="E313" s="7" t="e">
        <f t="shared" si="29"/>
        <v>#DIV/0!</v>
      </c>
    </row>
    <row r="314" spans="1:5" s="61" customFormat="1" ht="13.5" thickBot="1" x14ac:dyDescent="0.25">
      <c r="A314" s="64" t="s">
        <v>533</v>
      </c>
      <c r="B314" s="93">
        <v>-28000</v>
      </c>
      <c r="C314" s="93">
        <v>-28000</v>
      </c>
      <c r="D314" s="79">
        <f t="shared" si="28"/>
        <v>0</v>
      </c>
      <c r="E314" s="7">
        <f t="shared" si="29"/>
        <v>0</v>
      </c>
    </row>
    <row r="315" spans="1:5" x14ac:dyDescent="0.2">
      <c r="A315" s="53" t="s">
        <v>158</v>
      </c>
      <c r="B315" s="81">
        <f>SUM(B305:B314)</f>
        <v>47000</v>
      </c>
      <c r="C315" s="81">
        <f>SUM(C305:C314)</f>
        <v>27000</v>
      </c>
      <c r="D315" s="81">
        <f t="shared" si="28"/>
        <v>20000</v>
      </c>
      <c r="E315" s="8">
        <f>(B315-C315)/C315</f>
        <v>0.7407407407407407</v>
      </c>
    </row>
    <row r="316" spans="1:5" x14ac:dyDescent="0.2">
      <c r="A316" s="56"/>
      <c r="B316" s="82"/>
      <c r="C316" s="82"/>
      <c r="D316" s="82"/>
      <c r="E316" s="9"/>
    </row>
    <row r="317" spans="1:5" x14ac:dyDescent="0.2">
      <c r="A317" s="53" t="s">
        <v>159</v>
      </c>
      <c r="B317" s="79"/>
      <c r="C317" s="79"/>
      <c r="D317" s="79"/>
      <c r="E317" s="7"/>
    </row>
    <row r="318" spans="1:5" x14ac:dyDescent="0.2">
      <c r="A318" s="54" t="s">
        <v>160</v>
      </c>
      <c r="B318" s="80">
        <v>20000</v>
      </c>
      <c r="C318" s="80">
        <v>20000</v>
      </c>
      <c r="D318" s="79">
        <f>B318-C318</f>
        <v>0</v>
      </c>
      <c r="E318" s="7">
        <f>D318/C318</f>
        <v>0</v>
      </c>
    </row>
    <row r="319" spans="1:5" x14ac:dyDescent="0.2">
      <c r="A319" s="54" t="s">
        <v>622</v>
      </c>
      <c r="B319" s="80">
        <v>24000</v>
      </c>
      <c r="C319" s="80">
        <v>24000</v>
      </c>
      <c r="D319" s="79">
        <f>B319-C319</f>
        <v>0</v>
      </c>
      <c r="E319" s="7">
        <f>D319/C319</f>
        <v>0</v>
      </c>
    </row>
    <row r="320" spans="1:5" ht="13.5" thickBot="1" x14ac:dyDescent="0.25">
      <c r="A320" s="62" t="s">
        <v>626</v>
      </c>
      <c r="B320" s="93">
        <v>-10000</v>
      </c>
      <c r="C320" s="93">
        <v>-10000</v>
      </c>
      <c r="D320" s="93">
        <f>B320-C320</f>
        <v>0</v>
      </c>
      <c r="E320" s="1">
        <f>D320/C320</f>
        <v>0</v>
      </c>
    </row>
    <row r="321" spans="1:6" x14ac:dyDescent="0.2">
      <c r="A321" s="53" t="s">
        <v>161</v>
      </c>
      <c r="B321" s="81">
        <f>SUM(B318:B320)</f>
        <v>34000</v>
      </c>
      <c r="C321" s="81">
        <f>SUM(C318:C320)</f>
        <v>34000</v>
      </c>
      <c r="D321" s="81">
        <f>B321-C321</f>
        <v>0</v>
      </c>
      <c r="E321" s="8">
        <f>(B321-C321)/C321</f>
        <v>0</v>
      </c>
    </row>
    <row r="322" spans="1:6" x14ac:dyDescent="0.2">
      <c r="A322" s="56"/>
      <c r="B322" s="82"/>
      <c r="C322" s="82"/>
      <c r="D322" s="82"/>
      <c r="E322" s="9"/>
    </row>
    <row r="323" spans="1:6" x14ac:dyDescent="0.2">
      <c r="A323" s="53" t="s">
        <v>162</v>
      </c>
      <c r="B323" s="79"/>
      <c r="C323" s="79"/>
      <c r="D323" s="79"/>
      <c r="E323" s="7"/>
    </row>
    <row r="324" spans="1:6" ht="13.5" thickBot="1" x14ac:dyDescent="0.25">
      <c r="A324" s="55" t="s">
        <v>163</v>
      </c>
      <c r="B324" s="80">
        <v>1900</v>
      </c>
      <c r="C324" s="80">
        <v>1900</v>
      </c>
      <c r="D324" s="79">
        <f>B324-C324</f>
        <v>0</v>
      </c>
      <c r="E324" s="7">
        <f>D324/C324</f>
        <v>0</v>
      </c>
      <c r="F324" s="1"/>
    </row>
    <row r="325" spans="1:6" x14ac:dyDescent="0.2">
      <c r="A325" s="53" t="s">
        <v>164</v>
      </c>
      <c r="B325" s="81">
        <v>2000</v>
      </c>
      <c r="C325" s="81">
        <v>2000</v>
      </c>
      <c r="D325" s="81">
        <f>B325-C325</f>
        <v>0</v>
      </c>
      <c r="E325" s="8">
        <f>(B325-C325)/C325</f>
        <v>0</v>
      </c>
    </row>
    <row r="326" spans="1:6" x14ac:dyDescent="0.2">
      <c r="A326" s="56"/>
      <c r="B326" s="82"/>
      <c r="C326" s="82"/>
      <c r="D326" s="82"/>
      <c r="E326" s="9"/>
    </row>
    <row r="327" spans="1:6" x14ac:dyDescent="0.2">
      <c r="A327" s="53" t="s">
        <v>165</v>
      </c>
      <c r="B327" s="79"/>
      <c r="C327" s="79"/>
      <c r="D327" s="79"/>
      <c r="E327" s="7"/>
    </row>
    <row r="328" spans="1:6" ht="12.75" customHeight="1" thickBot="1" x14ac:dyDescent="0.25">
      <c r="A328" s="55" t="s">
        <v>166</v>
      </c>
      <c r="B328" s="80">
        <v>2000</v>
      </c>
      <c r="C328" s="80">
        <v>2000</v>
      </c>
      <c r="D328" s="79">
        <f>B328-C328</f>
        <v>0</v>
      </c>
      <c r="E328" s="7">
        <f>D328/C328</f>
        <v>0</v>
      </c>
    </row>
    <row r="329" spans="1:6" x14ac:dyDescent="0.2">
      <c r="A329" s="53" t="s">
        <v>167</v>
      </c>
      <c r="B329" s="81">
        <f>SUM(B328:B328)</f>
        <v>2000</v>
      </c>
      <c r="C329" s="81">
        <f>SUM(C328:C328)</f>
        <v>2000</v>
      </c>
      <c r="D329" s="81">
        <f>B329-C329</f>
        <v>0</v>
      </c>
      <c r="E329" s="8">
        <f>(B329-C329)/C329</f>
        <v>0</v>
      </c>
    </row>
    <row r="330" spans="1:6" x14ac:dyDescent="0.2">
      <c r="A330" s="56"/>
      <c r="B330" s="82"/>
      <c r="C330" s="82"/>
      <c r="D330" s="82"/>
      <c r="E330" s="9"/>
    </row>
    <row r="331" spans="1:6" x14ac:dyDescent="0.2">
      <c r="A331" s="53" t="s">
        <v>168</v>
      </c>
      <c r="B331" s="79"/>
      <c r="C331" s="79"/>
      <c r="D331" s="79"/>
      <c r="E331" s="7"/>
    </row>
    <row r="332" spans="1:6" x14ac:dyDescent="0.2">
      <c r="A332" s="54" t="s">
        <v>169</v>
      </c>
      <c r="B332" s="80">
        <v>10000</v>
      </c>
      <c r="C332" s="80">
        <v>10000</v>
      </c>
      <c r="D332" s="79">
        <f>B332-C332</f>
        <v>0</v>
      </c>
      <c r="E332" s="7">
        <f>D332/C332</f>
        <v>0</v>
      </c>
    </row>
    <row r="333" spans="1:6" ht="13.5" thickBot="1" x14ac:dyDescent="0.25">
      <c r="A333" s="55" t="s">
        <v>170</v>
      </c>
      <c r="B333" s="80">
        <v>2500</v>
      </c>
      <c r="C333" s="80">
        <v>2500</v>
      </c>
      <c r="D333" s="79">
        <f>B333-C333</f>
        <v>0</v>
      </c>
      <c r="E333" s="7">
        <f>D333/C333</f>
        <v>0</v>
      </c>
    </row>
    <row r="334" spans="1:6" x14ac:dyDescent="0.2">
      <c r="A334" s="53" t="s">
        <v>171</v>
      </c>
      <c r="B334" s="81">
        <f>SUM(B332:B333)</f>
        <v>12500</v>
      </c>
      <c r="C334" s="81">
        <f>SUM(C332:C333)</f>
        <v>12500</v>
      </c>
      <c r="D334" s="81">
        <f>B334-C334</f>
        <v>0</v>
      </c>
      <c r="E334" s="8">
        <f>(B334-C334)/C334</f>
        <v>0</v>
      </c>
    </row>
    <row r="335" spans="1:6" x14ac:dyDescent="0.2">
      <c r="A335" s="56"/>
      <c r="B335" s="82"/>
      <c r="C335" s="82"/>
      <c r="D335" s="82"/>
      <c r="E335" s="9"/>
    </row>
    <row r="336" spans="1:6" x14ac:dyDescent="0.2">
      <c r="A336" s="53" t="s">
        <v>172</v>
      </c>
      <c r="B336" s="79"/>
      <c r="C336" s="79"/>
      <c r="D336" s="79"/>
      <c r="E336" s="7"/>
    </row>
    <row r="337" spans="1:5" x14ac:dyDescent="0.2">
      <c r="A337" s="54" t="s">
        <v>173</v>
      </c>
      <c r="B337" s="80">
        <v>48000</v>
      </c>
      <c r="C337" s="80">
        <v>45900</v>
      </c>
      <c r="D337" s="79">
        <f t="shared" ref="D337:D343" si="30">B337-C337</f>
        <v>2100</v>
      </c>
      <c r="E337" s="7">
        <f t="shared" ref="E337:E342" si="31">D337/C337</f>
        <v>4.5751633986928102E-2</v>
      </c>
    </row>
    <row r="338" spans="1:5" x14ac:dyDescent="0.2">
      <c r="A338" s="54" t="s">
        <v>174</v>
      </c>
      <c r="B338" s="80">
        <v>1000</v>
      </c>
      <c r="C338" s="80">
        <v>1000</v>
      </c>
      <c r="D338" s="79">
        <f t="shared" si="30"/>
        <v>0</v>
      </c>
      <c r="E338" s="7">
        <f t="shared" si="31"/>
        <v>0</v>
      </c>
    </row>
    <row r="339" spans="1:5" x14ac:dyDescent="0.2">
      <c r="A339" s="54" t="s">
        <v>175</v>
      </c>
      <c r="B339" s="80">
        <v>330000</v>
      </c>
      <c r="C339" s="80">
        <v>400000</v>
      </c>
      <c r="D339" s="79">
        <f t="shared" si="30"/>
        <v>-70000</v>
      </c>
      <c r="E339" s="7">
        <f t="shared" si="31"/>
        <v>-0.17499999999999999</v>
      </c>
    </row>
    <row r="340" spans="1:5" x14ac:dyDescent="0.2">
      <c r="A340" s="54" t="s">
        <v>176</v>
      </c>
      <c r="B340" s="80">
        <v>155000</v>
      </c>
      <c r="C340" s="80">
        <v>150000</v>
      </c>
      <c r="D340" s="79">
        <f t="shared" si="30"/>
        <v>5000</v>
      </c>
      <c r="E340" s="7">
        <f t="shared" si="31"/>
        <v>3.3333333333333333E-2</v>
      </c>
    </row>
    <row r="341" spans="1:5" x14ac:dyDescent="0.2">
      <c r="A341" s="54" t="s">
        <v>177</v>
      </c>
      <c r="B341" s="80">
        <v>4500</v>
      </c>
      <c r="C341" s="80">
        <v>4500</v>
      </c>
      <c r="D341" s="79">
        <f t="shared" si="30"/>
        <v>0</v>
      </c>
      <c r="E341" s="7">
        <f t="shared" si="31"/>
        <v>0</v>
      </c>
    </row>
    <row r="342" spans="1:5" ht="13.5" thickBot="1" x14ac:dyDescent="0.25">
      <c r="A342" s="55" t="s">
        <v>178</v>
      </c>
      <c r="B342" s="80">
        <f>(B339+B340+B337)*0.22</f>
        <v>117260</v>
      </c>
      <c r="C342" s="80">
        <f>(C339+C340)*0.2</f>
        <v>110000</v>
      </c>
      <c r="D342" s="79">
        <f t="shared" si="30"/>
        <v>7260</v>
      </c>
      <c r="E342" s="7">
        <f t="shared" si="31"/>
        <v>6.6000000000000003E-2</v>
      </c>
    </row>
    <row r="343" spans="1:5" x14ac:dyDescent="0.2">
      <c r="A343" s="53" t="s">
        <v>179</v>
      </c>
      <c r="B343" s="81">
        <f>SUM(B337:B342)</f>
        <v>655760</v>
      </c>
      <c r="C343" s="81">
        <f>SUM(C337:C342)</f>
        <v>711400</v>
      </c>
      <c r="D343" s="81">
        <f t="shared" si="30"/>
        <v>-55640</v>
      </c>
      <c r="E343" s="8">
        <f>(B343-C343)/C343</f>
        <v>-7.8211976384593762E-2</v>
      </c>
    </row>
    <row r="344" spans="1:5" x14ac:dyDescent="0.2">
      <c r="A344" s="56"/>
      <c r="B344" s="82"/>
      <c r="C344" s="82"/>
      <c r="D344" s="82"/>
      <c r="E344" s="9"/>
    </row>
    <row r="345" spans="1:5" x14ac:dyDescent="0.2">
      <c r="A345" s="53" t="s">
        <v>180</v>
      </c>
      <c r="B345" s="80"/>
      <c r="C345" s="80"/>
      <c r="D345" s="79"/>
      <c r="E345" s="7"/>
    </row>
    <row r="346" spans="1:5" x14ac:dyDescent="0.2">
      <c r="A346" s="54" t="s">
        <v>181</v>
      </c>
      <c r="B346" s="80">
        <v>75200</v>
      </c>
      <c r="C346" s="80">
        <v>75200</v>
      </c>
      <c r="D346" s="79">
        <f>B346-C346</f>
        <v>0</v>
      </c>
      <c r="E346" s="7">
        <f>D346/C346</f>
        <v>0</v>
      </c>
    </row>
    <row r="347" spans="1:5" ht="13.5" thickBot="1" x14ac:dyDescent="0.25">
      <c r="A347" s="55" t="s">
        <v>603</v>
      </c>
      <c r="B347" s="80">
        <v>4800</v>
      </c>
      <c r="C347" s="80">
        <v>4800</v>
      </c>
      <c r="D347" s="80"/>
      <c r="E347" s="5"/>
    </row>
    <row r="348" spans="1:5" x14ac:dyDescent="0.2">
      <c r="A348" s="53" t="s">
        <v>182</v>
      </c>
      <c r="B348" s="81">
        <f>SUM(B346:B347)</f>
        <v>80000</v>
      </c>
      <c r="C348" s="81">
        <f>SUM(C346:C347)</f>
        <v>80000</v>
      </c>
      <c r="D348" s="81">
        <f>B348-C348</f>
        <v>0</v>
      </c>
      <c r="E348" s="8">
        <f>(B348-C348)/C348</f>
        <v>0</v>
      </c>
    </row>
    <row r="349" spans="1:5" x14ac:dyDescent="0.2">
      <c r="A349" s="56"/>
      <c r="B349" s="82"/>
      <c r="C349" s="82"/>
      <c r="D349" s="82"/>
      <c r="E349" s="9"/>
    </row>
    <row r="350" spans="1:5" x14ac:dyDescent="0.2">
      <c r="A350" s="53" t="s">
        <v>127</v>
      </c>
      <c r="B350" s="79"/>
      <c r="C350" s="79"/>
      <c r="D350" s="79"/>
      <c r="E350" s="7"/>
    </row>
    <row r="351" spans="1:5" x14ac:dyDescent="0.2">
      <c r="A351" s="54" t="s">
        <v>183</v>
      </c>
      <c r="B351" s="80">
        <v>5000</v>
      </c>
      <c r="C351" s="80">
        <v>5000</v>
      </c>
      <c r="D351" s="79">
        <f>B351-C351</f>
        <v>0</v>
      </c>
      <c r="E351" s="7">
        <f>D351/C351</f>
        <v>0</v>
      </c>
    </row>
    <row r="352" spans="1:5" x14ac:dyDescent="0.2">
      <c r="A352" s="54" t="s">
        <v>184</v>
      </c>
      <c r="B352" s="80">
        <v>5000</v>
      </c>
      <c r="C352" s="80">
        <v>5000</v>
      </c>
      <c r="D352" s="79">
        <f>B352-C352</f>
        <v>0</v>
      </c>
      <c r="E352" s="7">
        <f>D352/C352</f>
        <v>0</v>
      </c>
    </row>
    <row r="353" spans="1:5" ht="13.5" thickBot="1" x14ac:dyDescent="0.25">
      <c r="A353" s="55" t="s">
        <v>185</v>
      </c>
      <c r="B353" s="80">
        <v>2500</v>
      </c>
      <c r="C353" s="80">
        <v>2500</v>
      </c>
      <c r="D353" s="79">
        <f>B353-C353</f>
        <v>0</v>
      </c>
      <c r="E353" s="7">
        <f>D353/C353</f>
        <v>0</v>
      </c>
    </row>
    <row r="354" spans="1:5" x14ac:dyDescent="0.2">
      <c r="A354" s="53" t="s">
        <v>128</v>
      </c>
      <c r="B354" s="81">
        <f>SUM(B351:B353)</f>
        <v>12500</v>
      </c>
      <c r="C354" s="81">
        <f>SUM(C351:C353)</f>
        <v>12500</v>
      </c>
      <c r="D354" s="81">
        <f>B354-C354</f>
        <v>0</v>
      </c>
      <c r="E354" s="8">
        <f>(B354-C354)/C354</f>
        <v>0</v>
      </c>
    </row>
    <row r="355" spans="1:5" ht="13.5" thickBot="1" x14ac:dyDescent="0.25">
      <c r="A355" s="57"/>
      <c r="B355" s="82"/>
      <c r="C355" s="82"/>
      <c r="D355" s="82"/>
      <c r="E355" s="9"/>
    </row>
    <row r="356" spans="1:5" ht="13.5" thickBot="1" x14ac:dyDescent="0.25">
      <c r="A356" s="58" t="s">
        <v>530</v>
      </c>
      <c r="B356" s="83">
        <f>SUM(B354,B348,B343,B334,B329,B325,B321,B315)</f>
        <v>845760</v>
      </c>
      <c r="C356" s="83">
        <f>SUM(C354,C348,C343,C334,C329,C325,C321,C315)</f>
        <v>881400</v>
      </c>
      <c r="D356" s="83">
        <f>B356-C356</f>
        <v>-35640</v>
      </c>
      <c r="E356" s="10">
        <f>(B356-C356)/C356</f>
        <v>-4.0435670524166099E-2</v>
      </c>
    </row>
    <row r="357" spans="1:5" ht="13.5" thickBot="1" x14ac:dyDescent="0.25">
      <c r="A357" s="59"/>
      <c r="B357" s="84"/>
      <c r="C357" s="84"/>
      <c r="D357" s="84"/>
      <c r="E357" s="11"/>
    </row>
    <row r="358" spans="1:5" x14ac:dyDescent="0.2">
      <c r="A358" s="52" t="s">
        <v>489</v>
      </c>
      <c r="B358" s="79"/>
      <c r="C358" s="79"/>
      <c r="D358" s="79"/>
      <c r="E358" s="7"/>
    </row>
    <row r="359" spans="1:5" x14ac:dyDescent="0.2">
      <c r="A359" s="54" t="s">
        <v>125</v>
      </c>
      <c r="B359" s="80">
        <v>26000</v>
      </c>
      <c r="C359" s="80">
        <v>26000</v>
      </c>
      <c r="D359" s="79">
        <f t="shared" ref="D359:D365" si="32">B359-C359</f>
        <v>0</v>
      </c>
      <c r="E359" s="7">
        <f t="shared" ref="E359:E364" si="33">D359/C359</f>
        <v>0</v>
      </c>
    </row>
    <row r="360" spans="1:5" x14ac:dyDescent="0.2">
      <c r="A360" s="54" t="s">
        <v>186</v>
      </c>
      <c r="B360" s="80">
        <v>15000</v>
      </c>
      <c r="C360" s="80">
        <v>15000</v>
      </c>
      <c r="D360" s="79">
        <f t="shared" si="32"/>
        <v>0</v>
      </c>
      <c r="E360" s="7">
        <f t="shared" si="33"/>
        <v>0</v>
      </c>
    </row>
    <row r="361" spans="1:5" x14ac:dyDescent="0.2">
      <c r="A361" s="54" t="s">
        <v>187</v>
      </c>
      <c r="B361" s="80">
        <v>10000</v>
      </c>
      <c r="C361" s="80">
        <v>10000</v>
      </c>
      <c r="D361" s="79">
        <f t="shared" si="32"/>
        <v>0</v>
      </c>
      <c r="E361" s="7">
        <f t="shared" si="33"/>
        <v>0</v>
      </c>
    </row>
    <row r="362" spans="1:5" x14ac:dyDescent="0.2">
      <c r="A362" s="54" t="s">
        <v>188</v>
      </c>
      <c r="B362" s="80">
        <v>15250</v>
      </c>
      <c r="C362" s="80">
        <v>15250</v>
      </c>
      <c r="D362" s="79">
        <f t="shared" si="32"/>
        <v>0</v>
      </c>
      <c r="E362" s="7">
        <f t="shared" si="33"/>
        <v>0</v>
      </c>
    </row>
    <row r="363" spans="1:5" x14ac:dyDescent="0.2">
      <c r="A363" s="54" t="s">
        <v>189</v>
      </c>
      <c r="B363" s="80">
        <v>7000</v>
      </c>
      <c r="C363" s="80">
        <v>7000</v>
      </c>
      <c r="D363" s="79">
        <f t="shared" si="32"/>
        <v>0</v>
      </c>
      <c r="E363" s="7">
        <f t="shared" si="33"/>
        <v>0</v>
      </c>
    </row>
    <row r="364" spans="1:5" ht="13.5" thickBot="1" x14ac:dyDescent="0.25">
      <c r="A364" s="55" t="s">
        <v>190</v>
      </c>
      <c r="B364" s="80">
        <v>20000</v>
      </c>
      <c r="C364" s="80">
        <v>20000</v>
      </c>
      <c r="D364" s="79">
        <f t="shared" si="32"/>
        <v>0</v>
      </c>
      <c r="E364" s="7">
        <f t="shared" si="33"/>
        <v>0</v>
      </c>
    </row>
    <row r="365" spans="1:5" ht="13.5" thickBot="1" x14ac:dyDescent="0.25">
      <c r="A365" s="58" t="s">
        <v>531</v>
      </c>
      <c r="B365" s="83">
        <f>SUM(B359:B364)</f>
        <v>93250</v>
      </c>
      <c r="C365" s="83">
        <f>SUM(C359:C364)</f>
        <v>93250</v>
      </c>
      <c r="D365" s="83">
        <f t="shared" si="32"/>
        <v>0</v>
      </c>
      <c r="E365" s="10">
        <f>(B365-C365)/C365</f>
        <v>0</v>
      </c>
    </row>
    <row r="366" spans="1:5" ht="13.5" thickBot="1" x14ac:dyDescent="0.25">
      <c r="A366" s="59"/>
      <c r="B366" s="84"/>
      <c r="C366" s="84"/>
      <c r="D366" s="84"/>
      <c r="E366" s="11"/>
    </row>
    <row r="367" spans="1:5" x14ac:dyDescent="0.2">
      <c r="A367" s="52" t="s">
        <v>490</v>
      </c>
      <c r="B367" s="79"/>
      <c r="C367" s="79"/>
      <c r="D367" s="79"/>
      <c r="E367" s="7"/>
    </row>
    <row r="368" spans="1:5" x14ac:dyDescent="0.2">
      <c r="A368" s="53" t="s">
        <v>88</v>
      </c>
      <c r="B368" s="79"/>
      <c r="C368" s="79"/>
      <c r="D368" s="79"/>
      <c r="E368" s="7"/>
    </row>
    <row r="369" spans="1:5" ht="13.5" thickBot="1" x14ac:dyDescent="0.25">
      <c r="A369" s="55" t="s">
        <v>191</v>
      </c>
      <c r="B369" s="80">
        <v>3255</v>
      </c>
      <c r="C369" s="80">
        <v>3255</v>
      </c>
      <c r="D369" s="79">
        <f>B369-C369</f>
        <v>0</v>
      </c>
      <c r="E369" s="7">
        <f>D369/C369</f>
        <v>0</v>
      </c>
    </row>
    <row r="370" spans="1:5" x14ac:dyDescent="0.2">
      <c r="A370" s="53" t="s">
        <v>90</v>
      </c>
      <c r="B370" s="81">
        <f>SUM(B369:B369)</f>
        <v>3255</v>
      </c>
      <c r="C370" s="81">
        <f>SUM(C369:C369)</f>
        <v>3255</v>
      </c>
      <c r="D370" s="81">
        <f>B370-C370</f>
        <v>0</v>
      </c>
      <c r="E370" s="8">
        <f>(B370-C370)/C370</f>
        <v>0</v>
      </c>
    </row>
    <row r="371" spans="1:5" x14ac:dyDescent="0.2">
      <c r="A371" s="56"/>
      <c r="B371" s="82"/>
      <c r="C371" s="82"/>
      <c r="D371" s="82"/>
      <c r="E371" s="9"/>
    </row>
    <row r="372" spans="1:5" x14ac:dyDescent="0.2">
      <c r="A372" s="53" t="s">
        <v>91</v>
      </c>
      <c r="B372" s="79"/>
      <c r="C372" s="79"/>
      <c r="D372" s="79"/>
      <c r="E372" s="7"/>
    </row>
    <row r="373" spans="1:5" x14ac:dyDescent="0.2">
      <c r="A373" s="54" t="s">
        <v>192</v>
      </c>
      <c r="B373" s="80">
        <v>2000</v>
      </c>
      <c r="C373" s="80">
        <v>2000</v>
      </c>
      <c r="D373" s="79">
        <f>B373-C373</f>
        <v>0</v>
      </c>
      <c r="E373" s="7">
        <f>D373/C373</f>
        <v>0</v>
      </c>
    </row>
    <row r="374" spans="1:5" x14ac:dyDescent="0.2">
      <c r="A374" s="54" t="s">
        <v>193</v>
      </c>
      <c r="B374" s="80">
        <v>1000</v>
      </c>
      <c r="C374" s="80">
        <v>1000</v>
      </c>
      <c r="D374" s="79">
        <f>B374-C374</f>
        <v>0</v>
      </c>
      <c r="E374" s="7">
        <f>D374/C374</f>
        <v>0</v>
      </c>
    </row>
    <row r="375" spans="1:5" ht="13.5" thickBot="1" x14ac:dyDescent="0.25">
      <c r="A375" s="55" t="s">
        <v>194</v>
      </c>
      <c r="B375" s="80">
        <v>500</v>
      </c>
      <c r="C375" s="80">
        <v>500</v>
      </c>
      <c r="D375" s="79">
        <f>B375-C375</f>
        <v>0</v>
      </c>
      <c r="E375" s="7">
        <f>D375/C375</f>
        <v>0</v>
      </c>
    </row>
    <row r="376" spans="1:5" x14ac:dyDescent="0.2">
      <c r="A376" s="53" t="s">
        <v>94</v>
      </c>
      <c r="B376" s="81">
        <f>SUM(B373:B375)</f>
        <v>3500</v>
      </c>
      <c r="C376" s="81">
        <f>SUM(C373:C375)</f>
        <v>3500</v>
      </c>
      <c r="D376" s="81">
        <f>B376-C376</f>
        <v>0</v>
      </c>
      <c r="E376" s="8">
        <f>(B376-C376)/C376</f>
        <v>0</v>
      </c>
    </row>
    <row r="377" spans="1:5" ht="13.5" thickBot="1" x14ac:dyDescent="0.25">
      <c r="A377" s="57"/>
      <c r="B377" s="82"/>
      <c r="C377" s="82"/>
      <c r="D377" s="82"/>
      <c r="E377" s="9"/>
    </row>
    <row r="378" spans="1:5" ht="13.5" thickBot="1" x14ac:dyDescent="0.25">
      <c r="A378" s="58" t="s">
        <v>532</v>
      </c>
      <c r="B378" s="83">
        <f>SUM(B376,B370)</f>
        <v>6755</v>
      </c>
      <c r="C378" s="83">
        <f>SUM(C376,C370)</f>
        <v>6755</v>
      </c>
      <c r="D378" s="83">
        <f>B378-C378</f>
        <v>0</v>
      </c>
      <c r="E378" s="10">
        <f>(B378-C378)/C378</f>
        <v>0</v>
      </c>
    </row>
    <row r="379" spans="1:5" ht="13.5" thickBot="1" x14ac:dyDescent="0.25">
      <c r="A379" s="59"/>
      <c r="B379" s="84"/>
      <c r="C379" s="84"/>
      <c r="D379" s="84"/>
      <c r="E379" s="11"/>
    </row>
    <row r="380" spans="1:5" x14ac:dyDescent="0.2">
      <c r="A380" s="52" t="s">
        <v>491</v>
      </c>
      <c r="B380" s="78"/>
      <c r="C380" s="78"/>
      <c r="D380" s="78"/>
      <c r="E380" s="3"/>
    </row>
    <row r="381" spans="1:5" x14ac:dyDescent="0.2">
      <c r="A381" s="53" t="s">
        <v>88</v>
      </c>
      <c r="B381" s="79"/>
      <c r="C381" s="79"/>
      <c r="D381" s="79"/>
      <c r="E381" s="7"/>
    </row>
    <row r="382" spans="1:5" x14ac:dyDescent="0.2">
      <c r="A382" s="54" t="s">
        <v>195</v>
      </c>
      <c r="B382" s="80">
        <v>4750</v>
      </c>
      <c r="C382" s="80">
        <v>4750</v>
      </c>
      <c r="D382" s="79">
        <f>B382-C382</f>
        <v>0</v>
      </c>
      <c r="E382" s="7">
        <f>D382/C382</f>
        <v>0</v>
      </c>
    </row>
    <row r="383" spans="1:5" x14ac:dyDescent="0.2">
      <c r="A383" s="54" t="s">
        <v>196</v>
      </c>
      <c r="B383" s="80">
        <v>12000</v>
      </c>
      <c r="C383" s="80">
        <v>8000</v>
      </c>
      <c r="D383" s="79">
        <f>B383-C383</f>
        <v>4000</v>
      </c>
      <c r="E383" s="7">
        <f>D383/C383</f>
        <v>0.5</v>
      </c>
    </row>
    <row r="384" spans="1:5" x14ac:dyDescent="0.2">
      <c r="A384" s="54" t="s">
        <v>198</v>
      </c>
      <c r="B384" s="80">
        <v>1000</v>
      </c>
      <c r="C384" s="80">
        <v>1000</v>
      </c>
      <c r="D384" s="79">
        <f>B384-C384</f>
        <v>0</v>
      </c>
      <c r="E384" s="7">
        <f>D384/C384</f>
        <v>0</v>
      </c>
    </row>
    <row r="385" spans="1:5" x14ac:dyDescent="0.2">
      <c r="A385" s="54" t="s">
        <v>199</v>
      </c>
      <c r="B385" s="80">
        <v>50000</v>
      </c>
      <c r="C385" s="80">
        <v>59500</v>
      </c>
      <c r="D385" s="79">
        <f>B385-C385</f>
        <v>-9500</v>
      </c>
      <c r="E385" s="7">
        <f>D385/C385</f>
        <v>-0.15966386554621848</v>
      </c>
    </row>
    <row r="386" spans="1:5" ht="13.5" thickBot="1" x14ac:dyDescent="0.25">
      <c r="A386" s="55" t="s">
        <v>200</v>
      </c>
      <c r="B386" s="80">
        <v>1200</v>
      </c>
      <c r="C386" s="80">
        <v>1200</v>
      </c>
      <c r="D386" s="79">
        <f>B386-C386</f>
        <v>0</v>
      </c>
      <c r="E386" s="7">
        <f>D386/C386</f>
        <v>0</v>
      </c>
    </row>
    <row r="387" spans="1:5" x14ac:dyDescent="0.2">
      <c r="A387" s="53" t="s">
        <v>90</v>
      </c>
      <c r="B387" s="81">
        <f>SUM(B382:B386)</f>
        <v>68950</v>
      </c>
      <c r="C387" s="81">
        <f>SUM(C382:C386)</f>
        <v>74450</v>
      </c>
      <c r="D387" s="81">
        <f>SUM(D382:D386)</f>
        <v>-5500</v>
      </c>
      <c r="E387" s="2">
        <f>SUM(E382:E386)</f>
        <v>0.34033613445378152</v>
      </c>
    </row>
    <row r="388" spans="1:5" x14ac:dyDescent="0.2">
      <c r="A388" s="56"/>
      <c r="B388" s="82"/>
      <c r="C388" s="82"/>
      <c r="D388" s="82"/>
      <c r="E388" s="9"/>
    </row>
    <row r="389" spans="1:5" x14ac:dyDescent="0.2">
      <c r="A389" s="53" t="s">
        <v>201</v>
      </c>
      <c r="B389" s="79"/>
      <c r="C389" s="79"/>
      <c r="D389" s="79"/>
      <c r="E389" s="7"/>
    </row>
    <row r="390" spans="1:5" x14ac:dyDescent="0.2">
      <c r="A390" s="54" t="s">
        <v>202</v>
      </c>
      <c r="B390" s="80">
        <v>0</v>
      </c>
      <c r="C390" s="80">
        <v>400</v>
      </c>
      <c r="D390" s="79">
        <f>B390-C390</f>
        <v>-400</v>
      </c>
      <c r="E390" s="7">
        <f>D390/C390</f>
        <v>-1</v>
      </c>
    </row>
    <row r="391" spans="1:5" x14ac:dyDescent="0.2">
      <c r="A391" s="54" t="s">
        <v>203</v>
      </c>
      <c r="B391" s="80">
        <v>0</v>
      </c>
      <c r="C391" s="80">
        <v>26970</v>
      </c>
      <c r="D391" s="79">
        <f>B391-C391</f>
        <v>-26970</v>
      </c>
      <c r="E391" s="7">
        <f>D391/C391</f>
        <v>-1</v>
      </c>
    </row>
    <row r="392" spans="1:5" ht="13.5" thickBot="1" x14ac:dyDescent="0.25">
      <c r="A392" s="55" t="s">
        <v>204</v>
      </c>
      <c r="B392" s="80">
        <v>0</v>
      </c>
      <c r="C392" s="80">
        <v>3000</v>
      </c>
      <c r="D392" s="79">
        <f>B392-C392</f>
        <v>-3000</v>
      </c>
      <c r="E392" s="7">
        <f>D392/C392</f>
        <v>-1</v>
      </c>
    </row>
    <row r="393" spans="1:5" x14ac:dyDescent="0.2">
      <c r="A393" s="53" t="s">
        <v>205</v>
      </c>
      <c r="B393" s="81">
        <f>SUM(B390:B392)</f>
        <v>0</v>
      </c>
      <c r="C393" s="81">
        <f>SUM(C390:C392)</f>
        <v>30370</v>
      </c>
      <c r="D393" s="81">
        <f>B393-C393</f>
        <v>-30370</v>
      </c>
      <c r="E393" s="8">
        <f>(B393-C393)/C393</f>
        <v>-1</v>
      </c>
    </row>
    <row r="394" spans="1:5" x14ac:dyDescent="0.2">
      <c r="A394" s="56"/>
      <c r="B394" s="82"/>
      <c r="C394" s="82"/>
      <c r="D394" s="82"/>
      <c r="E394" s="9"/>
    </row>
    <row r="395" spans="1:5" x14ac:dyDescent="0.2">
      <c r="A395" s="53" t="s">
        <v>206</v>
      </c>
      <c r="B395" s="79"/>
      <c r="C395" s="79"/>
      <c r="D395" s="79"/>
      <c r="E395" s="7"/>
    </row>
    <row r="396" spans="1:5" x14ac:dyDescent="0.2">
      <c r="A396" s="54" t="s">
        <v>207</v>
      </c>
      <c r="B396" s="80">
        <v>500</v>
      </c>
      <c r="C396" s="80">
        <v>500</v>
      </c>
      <c r="D396" s="79">
        <f>B396-C396</f>
        <v>0</v>
      </c>
      <c r="E396" s="7">
        <f>D396/C396</f>
        <v>0</v>
      </c>
    </row>
    <row r="397" spans="1:5" x14ac:dyDescent="0.2">
      <c r="A397" s="54" t="s">
        <v>208</v>
      </c>
      <c r="B397" s="80">
        <v>55481</v>
      </c>
      <c r="C397" s="80">
        <v>53865</v>
      </c>
      <c r="D397" s="79">
        <f>B397-C397</f>
        <v>1616</v>
      </c>
      <c r="E397" s="7">
        <f>D397/C397</f>
        <v>3.0000928246542283E-2</v>
      </c>
    </row>
    <row r="398" spans="1:5" ht="13.5" thickBot="1" x14ac:dyDescent="0.25">
      <c r="A398" s="55" t="s">
        <v>209</v>
      </c>
      <c r="B398" s="80">
        <v>6700</v>
      </c>
      <c r="C398" s="80">
        <v>6700</v>
      </c>
      <c r="D398" s="79">
        <f>B398-C398</f>
        <v>0</v>
      </c>
      <c r="E398" s="7">
        <f>D398/C398</f>
        <v>0</v>
      </c>
    </row>
    <row r="399" spans="1:5" x14ac:dyDescent="0.2">
      <c r="A399" s="53" t="s">
        <v>210</v>
      </c>
      <c r="B399" s="81">
        <f>SUM(B396:B398)</f>
        <v>62681</v>
      </c>
      <c r="C399" s="81">
        <f>SUM(C396:C398)</f>
        <v>61065</v>
      </c>
      <c r="D399" s="81">
        <f>B399-C399</f>
        <v>1616</v>
      </c>
      <c r="E399" s="8">
        <f>(B399-C399)/C399</f>
        <v>2.6463604356014084E-2</v>
      </c>
    </row>
    <row r="400" spans="1:5" x14ac:dyDescent="0.2">
      <c r="A400" s="56"/>
      <c r="B400" s="82"/>
      <c r="C400" s="82"/>
      <c r="D400" s="82"/>
      <c r="E400" s="9"/>
    </row>
    <row r="401" spans="1:5" x14ac:dyDescent="0.2">
      <c r="A401" s="53" t="s">
        <v>211</v>
      </c>
      <c r="B401" s="79"/>
      <c r="C401" s="79"/>
      <c r="D401" s="79"/>
      <c r="E401" s="7"/>
    </row>
    <row r="402" spans="1:5" x14ac:dyDescent="0.2">
      <c r="A402" s="54" t="s">
        <v>212</v>
      </c>
      <c r="B402" s="80">
        <v>12500</v>
      </c>
      <c r="C402" s="80">
        <v>12500</v>
      </c>
      <c r="D402" s="79">
        <f>B402-C402</f>
        <v>0</v>
      </c>
      <c r="E402" s="7">
        <f>D402/C402</f>
        <v>0</v>
      </c>
    </row>
    <row r="403" spans="1:5" x14ac:dyDescent="0.2">
      <c r="A403" s="54" t="s">
        <v>213</v>
      </c>
      <c r="B403" s="80">
        <v>55481</v>
      </c>
      <c r="C403" s="80">
        <v>53865</v>
      </c>
      <c r="D403" s="79">
        <f>B403-C403</f>
        <v>1616</v>
      </c>
      <c r="E403" s="7">
        <f>D403/C403</f>
        <v>3.0000928246542283E-2</v>
      </c>
    </row>
    <row r="404" spans="1:5" ht="13.5" thickBot="1" x14ac:dyDescent="0.25">
      <c r="A404" s="55" t="s">
        <v>214</v>
      </c>
      <c r="B404" s="80">
        <v>0</v>
      </c>
      <c r="C404" s="80">
        <v>0</v>
      </c>
      <c r="D404" s="79">
        <f>B404-C404</f>
        <v>0</v>
      </c>
      <c r="E404" s="7" t="e">
        <f>D404/C404</f>
        <v>#DIV/0!</v>
      </c>
    </row>
    <row r="405" spans="1:5" x14ac:dyDescent="0.2">
      <c r="A405" s="53" t="s">
        <v>215</v>
      </c>
      <c r="B405" s="81">
        <f>SUM(B402:B404)</f>
        <v>67981</v>
      </c>
      <c r="C405" s="81">
        <f>SUM(C402:C404)</f>
        <v>66365</v>
      </c>
      <c r="D405" s="81">
        <f>B405-C405</f>
        <v>1616</v>
      </c>
      <c r="E405" s="8">
        <f>(B405-C405)/C405</f>
        <v>2.435018458524825E-2</v>
      </c>
    </row>
    <row r="406" spans="1:5" x14ac:dyDescent="0.2">
      <c r="A406" s="56"/>
      <c r="B406" s="82"/>
      <c r="C406" s="82"/>
      <c r="D406" s="82"/>
      <c r="E406" s="9"/>
    </row>
    <row r="407" spans="1:5" x14ac:dyDescent="0.2">
      <c r="A407" s="53" t="s">
        <v>216</v>
      </c>
      <c r="B407" s="79"/>
      <c r="C407" s="79"/>
      <c r="D407" s="79"/>
      <c r="E407" s="7"/>
    </row>
    <row r="408" spans="1:5" x14ac:dyDescent="0.2">
      <c r="A408" s="54" t="s">
        <v>217</v>
      </c>
      <c r="B408" s="80">
        <v>500</v>
      </c>
      <c r="C408" s="80">
        <v>500</v>
      </c>
      <c r="D408" s="79">
        <f>B408-C408</f>
        <v>0</v>
      </c>
      <c r="E408" s="7">
        <f>D408/C408</f>
        <v>0</v>
      </c>
    </row>
    <row r="409" spans="1:5" x14ac:dyDescent="0.2">
      <c r="A409" s="54" t="s">
        <v>218</v>
      </c>
      <c r="B409" s="80">
        <v>55481</v>
      </c>
      <c r="C409" s="80">
        <v>53865</v>
      </c>
      <c r="D409" s="79">
        <f>B409-C409</f>
        <v>1616</v>
      </c>
      <c r="E409" s="7">
        <f>D409/C409</f>
        <v>3.0000928246542283E-2</v>
      </c>
    </row>
    <row r="410" spans="1:5" x14ac:dyDescent="0.2">
      <c r="A410" s="54" t="s">
        <v>595</v>
      </c>
      <c r="B410" s="80">
        <v>14000</v>
      </c>
      <c r="C410" s="80">
        <v>14000</v>
      </c>
      <c r="D410" s="79">
        <f>B410-C410</f>
        <v>0</v>
      </c>
      <c r="E410" s="7">
        <f>D410/C410</f>
        <v>0</v>
      </c>
    </row>
    <row r="411" spans="1:5" ht="13.5" thickBot="1" x14ac:dyDescent="0.25">
      <c r="A411" s="55" t="s">
        <v>219</v>
      </c>
      <c r="B411" s="80">
        <v>2447</v>
      </c>
      <c r="C411" s="80">
        <v>2447</v>
      </c>
      <c r="D411" s="79">
        <f>B411-C411</f>
        <v>0</v>
      </c>
      <c r="E411" s="7">
        <f>D411/C411</f>
        <v>0</v>
      </c>
    </row>
    <row r="412" spans="1:5" x14ac:dyDescent="0.2">
      <c r="A412" s="53" t="s">
        <v>220</v>
      </c>
      <c r="B412" s="81">
        <f>SUM(B408:B411)</f>
        <v>72428</v>
      </c>
      <c r="C412" s="81">
        <f>SUM(C408:C411)</f>
        <v>70812</v>
      </c>
      <c r="D412" s="81">
        <f>B412-C412</f>
        <v>1616</v>
      </c>
      <c r="E412" s="8">
        <f>(B412-C412)/C412</f>
        <v>2.2820990792521041E-2</v>
      </c>
    </row>
    <row r="413" spans="1:5" x14ac:dyDescent="0.2">
      <c r="A413" s="56"/>
      <c r="B413" s="82"/>
      <c r="C413" s="82"/>
      <c r="D413" s="82"/>
      <c r="E413" s="9"/>
    </row>
    <row r="414" spans="1:5" x14ac:dyDescent="0.2">
      <c r="A414" s="53" t="s">
        <v>221</v>
      </c>
      <c r="B414" s="79"/>
      <c r="C414" s="79"/>
      <c r="D414" s="79"/>
      <c r="E414" s="7"/>
    </row>
    <row r="415" spans="1:5" x14ac:dyDescent="0.2">
      <c r="A415" s="54" t="s">
        <v>222</v>
      </c>
      <c r="B415" s="80">
        <v>0</v>
      </c>
      <c r="C415" s="80">
        <v>500</v>
      </c>
      <c r="D415" s="79">
        <f>B415-C415</f>
        <v>-500</v>
      </c>
      <c r="E415" s="7">
        <f>D415/C415</f>
        <v>-1</v>
      </c>
    </row>
    <row r="416" spans="1:5" x14ac:dyDescent="0.2">
      <c r="A416" s="54" t="s">
        <v>223</v>
      </c>
      <c r="B416" s="80">
        <v>0</v>
      </c>
      <c r="C416" s="80">
        <v>53865</v>
      </c>
      <c r="D416" s="79">
        <f>B416-C416</f>
        <v>-53865</v>
      </c>
      <c r="E416" s="7">
        <f>D416/C416</f>
        <v>-1</v>
      </c>
    </row>
    <row r="417" spans="1:5" x14ac:dyDescent="0.2">
      <c r="A417" s="54" t="s">
        <v>224</v>
      </c>
      <c r="B417" s="80">
        <v>0</v>
      </c>
      <c r="C417" s="80">
        <v>11500</v>
      </c>
      <c r="D417" s="79">
        <f>B417-C417</f>
        <v>-11500</v>
      </c>
      <c r="E417" s="7">
        <f>D417/C417</f>
        <v>-1</v>
      </c>
    </row>
    <row r="418" spans="1:5" ht="13.5" thickBot="1" x14ac:dyDescent="0.25">
      <c r="A418" s="55" t="s">
        <v>225</v>
      </c>
      <c r="B418" s="80">
        <v>30000</v>
      </c>
      <c r="C418" s="80">
        <v>2447</v>
      </c>
      <c r="D418" s="79">
        <f>B418-C418</f>
        <v>27553</v>
      </c>
      <c r="E418" s="7">
        <f>D418/C418</f>
        <v>11.259910093992644</v>
      </c>
    </row>
    <row r="419" spans="1:5" x14ac:dyDescent="0.2">
      <c r="A419" s="53" t="s">
        <v>226</v>
      </c>
      <c r="B419" s="81">
        <f>SUM(B415:B418)</f>
        <v>30000</v>
      </c>
      <c r="C419" s="81">
        <f>SUM(C415:C418)</f>
        <v>68312</v>
      </c>
      <c r="D419" s="81">
        <f>B419-C419</f>
        <v>-38312</v>
      </c>
      <c r="E419" s="8">
        <f>(B419-C419)/C419</f>
        <v>-0.56083850567982196</v>
      </c>
    </row>
    <row r="420" spans="1:5" ht="13.5" thickBot="1" x14ac:dyDescent="0.25">
      <c r="A420" s="57"/>
      <c r="B420" s="82"/>
      <c r="C420" s="82"/>
      <c r="D420" s="82"/>
      <c r="E420" s="9"/>
    </row>
    <row r="421" spans="1:5" ht="13.5" thickBot="1" x14ac:dyDescent="0.25">
      <c r="A421" s="58" t="s">
        <v>534</v>
      </c>
      <c r="B421" s="83">
        <f>SUM(B419,B412,B405,B399,B393,B387)</f>
        <v>302040</v>
      </c>
      <c r="C421" s="83">
        <f>SUM(C419,C412,C405,C399,C393,C387)</f>
        <v>371374</v>
      </c>
      <c r="D421" s="83">
        <f>B421-C421</f>
        <v>-69334</v>
      </c>
      <c r="E421" s="10">
        <f>(B421-C421)/C421</f>
        <v>-0.18669589147328569</v>
      </c>
    </row>
    <row r="422" spans="1:5" ht="13.5" thickBot="1" x14ac:dyDescent="0.25">
      <c r="A422" s="59"/>
      <c r="B422" s="88"/>
      <c r="C422" s="88"/>
      <c r="D422" s="88"/>
      <c r="E422" s="12"/>
    </row>
    <row r="423" spans="1:5" x14ac:dyDescent="0.2">
      <c r="A423" s="52" t="s">
        <v>492</v>
      </c>
      <c r="B423" s="78"/>
      <c r="C423" s="78"/>
      <c r="D423" s="78"/>
      <c r="E423" s="3"/>
    </row>
    <row r="424" spans="1:5" x14ac:dyDescent="0.2">
      <c r="A424" s="54" t="s">
        <v>227</v>
      </c>
      <c r="B424" s="80">
        <v>5000</v>
      </c>
      <c r="C424" s="80">
        <v>5000</v>
      </c>
      <c r="D424" s="79">
        <f t="shared" ref="D424:D431" si="34">B424-C424</f>
        <v>0</v>
      </c>
      <c r="E424" s="7">
        <f t="shared" ref="E424:E430" si="35">D424/C424</f>
        <v>0</v>
      </c>
    </row>
    <row r="425" spans="1:5" x14ac:dyDescent="0.2">
      <c r="A425" s="54" t="s">
        <v>228</v>
      </c>
      <c r="B425" s="80">
        <v>500</v>
      </c>
      <c r="C425" s="80">
        <v>500</v>
      </c>
      <c r="D425" s="79">
        <f t="shared" si="34"/>
        <v>0</v>
      </c>
      <c r="E425" s="7">
        <f t="shared" si="35"/>
        <v>0</v>
      </c>
    </row>
    <row r="426" spans="1:5" x14ac:dyDescent="0.2">
      <c r="A426" s="54" t="s">
        <v>229</v>
      </c>
      <c r="B426" s="80">
        <v>2000</v>
      </c>
      <c r="C426" s="80">
        <v>2000</v>
      </c>
      <c r="D426" s="79">
        <f t="shared" si="34"/>
        <v>0</v>
      </c>
      <c r="E426" s="7">
        <f t="shared" si="35"/>
        <v>0</v>
      </c>
    </row>
    <row r="427" spans="1:5" x14ac:dyDescent="0.2">
      <c r="A427" s="54" t="s">
        <v>230</v>
      </c>
      <c r="B427" s="80">
        <v>1200</v>
      </c>
      <c r="C427" s="80">
        <v>1200</v>
      </c>
      <c r="D427" s="79">
        <f t="shared" si="34"/>
        <v>0</v>
      </c>
      <c r="E427" s="7">
        <f t="shared" si="35"/>
        <v>0</v>
      </c>
    </row>
    <row r="428" spans="1:5" x14ac:dyDescent="0.2">
      <c r="A428" s="54" t="s">
        <v>231</v>
      </c>
      <c r="B428" s="80">
        <v>1200</v>
      </c>
      <c r="C428" s="80">
        <v>1200</v>
      </c>
      <c r="D428" s="79">
        <f t="shared" si="34"/>
        <v>0</v>
      </c>
      <c r="E428" s="7">
        <f t="shared" si="35"/>
        <v>0</v>
      </c>
    </row>
    <row r="429" spans="1:5" x14ac:dyDescent="0.2">
      <c r="A429" s="54" t="s">
        <v>232</v>
      </c>
      <c r="B429" s="80">
        <v>1500</v>
      </c>
      <c r="C429" s="80">
        <v>1500</v>
      </c>
      <c r="D429" s="79">
        <f t="shared" si="34"/>
        <v>0</v>
      </c>
      <c r="E429" s="7">
        <f t="shared" si="35"/>
        <v>0</v>
      </c>
    </row>
    <row r="430" spans="1:5" ht="13.5" thickBot="1" x14ac:dyDescent="0.25">
      <c r="A430" s="55" t="s">
        <v>233</v>
      </c>
      <c r="B430" s="80">
        <v>500</v>
      </c>
      <c r="C430" s="80">
        <v>500</v>
      </c>
      <c r="D430" s="79">
        <f t="shared" si="34"/>
        <v>0</v>
      </c>
      <c r="E430" s="7">
        <f t="shared" si="35"/>
        <v>0</v>
      </c>
    </row>
    <row r="431" spans="1:5" ht="13.5" thickBot="1" x14ac:dyDescent="0.25">
      <c r="A431" s="58" t="s">
        <v>535</v>
      </c>
      <c r="B431" s="83">
        <f>SUM(B424:B430)</f>
        <v>11900</v>
      </c>
      <c r="C431" s="83">
        <f>SUM(C424:C430)</f>
        <v>11900</v>
      </c>
      <c r="D431" s="83">
        <f t="shared" si="34"/>
        <v>0</v>
      </c>
      <c r="E431" s="10">
        <f>(B431-C431)/C431</f>
        <v>0</v>
      </c>
    </row>
    <row r="432" spans="1:5" ht="13.5" thickBot="1" x14ac:dyDescent="0.25">
      <c r="A432" s="58"/>
      <c r="B432" s="83"/>
      <c r="C432" s="83"/>
      <c r="D432" s="83"/>
      <c r="E432" s="10"/>
    </row>
    <row r="433" spans="1:5" x14ac:dyDescent="0.2">
      <c r="A433" s="52" t="s">
        <v>588</v>
      </c>
      <c r="B433" s="78"/>
      <c r="C433" s="78"/>
      <c r="D433" s="78"/>
      <c r="E433" s="3"/>
    </row>
    <row r="434" spans="1:5" x14ac:dyDescent="0.2">
      <c r="A434" s="53" t="s">
        <v>88</v>
      </c>
      <c r="B434" s="79"/>
      <c r="C434" s="79"/>
      <c r="D434" s="79"/>
      <c r="E434" s="7"/>
    </row>
    <row r="435" spans="1:5" x14ac:dyDescent="0.2">
      <c r="A435" s="54" t="s">
        <v>234</v>
      </c>
      <c r="B435" s="80">
        <v>500</v>
      </c>
      <c r="C435" s="80">
        <v>500</v>
      </c>
      <c r="D435" s="79">
        <f t="shared" ref="D435:D444" si="36">B435-C435</f>
        <v>0</v>
      </c>
      <c r="E435" s="7">
        <f t="shared" ref="E435:E443" si="37">D435/C435</f>
        <v>0</v>
      </c>
    </row>
    <row r="436" spans="1:5" x14ac:dyDescent="0.2">
      <c r="A436" s="54" t="s">
        <v>235</v>
      </c>
      <c r="B436" s="80">
        <v>2000</v>
      </c>
      <c r="C436" s="80">
        <v>2000</v>
      </c>
      <c r="D436" s="79">
        <f t="shared" si="36"/>
        <v>0</v>
      </c>
      <c r="E436" s="7">
        <f t="shared" si="37"/>
        <v>0</v>
      </c>
    </row>
    <row r="437" spans="1:5" x14ac:dyDescent="0.2">
      <c r="A437" s="54" t="s">
        <v>236</v>
      </c>
      <c r="B437" s="80">
        <v>1000</v>
      </c>
      <c r="C437" s="80">
        <v>1000</v>
      </c>
      <c r="D437" s="79">
        <f t="shared" si="36"/>
        <v>0</v>
      </c>
      <c r="E437" s="7">
        <f t="shared" si="37"/>
        <v>0</v>
      </c>
    </row>
    <row r="438" spans="1:5" x14ac:dyDescent="0.2">
      <c r="A438" s="54" t="s">
        <v>237</v>
      </c>
      <c r="B438" s="80">
        <v>1000</v>
      </c>
      <c r="C438" s="80">
        <v>1000</v>
      </c>
      <c r="D438" s="79">
        <f t="shared" si="36"/>
        <v>0</v>
      </c>
      <c r="E438" s="7">
        <f t="shared" si="37"/>
        <v>0</v>
      </c>
    </row>
    <row r="439" spans="1:5" x14ac:dyDescent="0.2">
      <c r="A439" s="54" t="s">
        <v>238</v>
      </c>
      <c r="B439" s="80">
        <v>5000</v>
      </c>
      <c r="C439" s="80">
        <v>5000</v>
      </c>
      <c r="D439" s="79">
        <f t="shared" si="36"/>
        <v>0</v>
      </c>
      <c r="E439" s="7">
        <f t="shared" si="37"/>
        <v>0</v>
      </c>
    </row>
    <row r="440" spans="1:5" x14ac:dyDescent="0.2">
      <c r="A440" s="54" t="s">
        <v>608</v>
      </c>
      <c r="B440" s="80">
        <v>1500</v>
      </c>
      <c r="C440" s="80">
        <v>1500</v>
      </c>
      <c r="D440" s="79">
        <f t="shared" si="36"/>
        <v>0</v>
      </c>
      <c r="E440" s="7">
        <f t="shared" si="37"/>
        <v>0</v>
      </c>
    </row>
    <row r="441" spans="1:5" x14ac:dyDescent="0.2">
      <c r="A441" s="54" t="s">
        <v>239</v>
      </c>
      <c r="B441" s="80">
        <v>1000</v>
      </c>
      <c r="C441" s="80">
        <v>1000</v>
      </c>
      <c r="D441" s="79">
        <f t="shared" si="36"/>
        <v>0</v>
      </c>
      <c r="E441" s="7">
        <f t="shared" si="37"/>
        <v>0</v>
      </c>
    </row>
    <row r="442" spans="1:5" x14ac:dyDescent="0.2">
      <c r="A442" s="54" t="s">
        <v>240</v>
      </c>
      <c r="B442" s="80">
        <v>7400</v>
      </c>
      <c r="C442" s="80">
        <v>7400</v>
      </c>
      <c r="D442" s="79">
        <f t="shared" si="36"/>
        <v>0</v>
      </c>
      <c r="E442" s="7">
        <f t="shared" si="37"/>
        <v>0</v>
      </c>
    </row>
    <row r="443" spans="1:5" ht="13.5" thickBot="1" x14ac:dyDescent="0.25">
      <c r="A443" s="55" t="s">
        <v>241</v>
      </c>
      <c r="B443" s="80">
        <v>1500</v>
      </c>
      <c r="C443" s="80">
        <v>1500</v>
      </c>
      <c r="D443" s="79">
        <f t="shared" si="36"/>
        <v>0</v>
      </c>
      <c r="E443" s="7">
        <f t="shared" si="37"/>
        <v>0</v>
      </c>
    </row>
    <row r="444" spans="1:5" x14ac:dyDescent="0.2">
      <c r="A444" s="53" t="s">
        <v>90</v>
      </c>
      <c r="B444" s="81">
        <f>SUM(B435:B443)</f>
        <v>20900</v>
      </c>
      <c r="C444" s="81">
        <f>SUM(C435:C443)</f>
        <v>20900</v>
      </c>
      <c r="D444" s="81">
        <f t="shared" si="36"/>
        <v>0</v>
      </c>
      <c r="E444" s="8">
        <f>(B444-C444)/C444</f>
        <v>0</v>
      </c>
    </row>
    <row r="445" spans="1:5" x14ac:dyDescent="0.2">
      <c r="A445" s="56"/>
      <c r="B445" s="82"/>
      <c r="C445" s="82"/>
      <c r="D445" s="82"/>
      <c r="E445" s="9"/>
    </row>
    <row r="446" spans="1:5" x14ac:dyDescent="0.2">
      <c r="A446" s="53" t="s">
        <v>242</v>
      </c>
      <c r="B446" s="79"/>
      <c r="C446" s="79"/>
      <c r="D446" s="79"/>
      <c r="E446" s="7"/>
    </row>
    <row r="447" spans="1:5" x14ac:dyDescent="0.2">
      <c r="A447" s="54" t="s">
        <v>243</v>
      </c>
      <c r="B447" s="80">
        <v>20000</v>
      </c>
      <c r="C447" s="80">
        <v>20000</v>
      </c>
      <c r="D447" s="79">
        <f t="shared" ref="D447:D455" si="38">B447-C447</f>
        <v>0</v>
      </c>
      <c r="E447" s="7">
        <f t="shared" ref="E447:E454" si="39">D447/C447</f>
        <v>0</v>
      </c>
    </row>
    <row r="448" spans="1:5" x14ac:dyDescent="0.2">
      <c r="A448" s="54" t="s">
        <v>244</v>
      </c>
      <c r="B448" s="80">
        <v>1000</v>
      </c>
      <c r="C448" s="80">
        <v>1000</v>
      </c>
      <c r="D448" s="79">
        <f t="shared" si="38"/>
        <v>0</v>
      </c>
      <c r="E448" s="7">
        <f t="shared" si="39"/>
        <v>0</v>
      </c>
    </row>
    <row r="449" spans="1:5" x14ac:dyDescent="0.2">
      <c r="A449" s="54" t="s">
        <v>245</v>
      </c>
      <c r="B449" s="80">
        <v>3200</v>
      </c>
      <c r="C449" s="80">
        <v>3200</v>
      </c>
      <c r="D449" s="79">
        <f t="shared" si="38"/>
        <v>0</v>
      </c>
      <c r="E449" s="7">
        <f t="shared" si="39"/>
        <v>0</v>
      </c>
    </row>
    <row r="450" spans="1:5" x14ac:dyDescent="0.2">
      <c r="A450" s="54" t="s">
        <v>246</v>
      </c>
      <c r="B450" s="80">
        <v>10000</v>
      </c>
      <c r="C450" s="80">
        <v>8000</v>
      </c>
      <c r="D450" s="79">
        <f t="shared" si="38"/>
        <v>2000</v>
      </c>
      <c r="E450" s="7">
        <f t="shared" si="39"/>
        <v>0.25</v>
      </c>
    </row>
    <row r="451" spans="1:5" x14ac:dyDescent="0.2">
      <c r="A451" s="54" t="s">
        <v>247</v>
      </c>
      <c r="B451" s="80">
        <v>9400</v>
      </c>
      <c r="C451" s="80">
        <v>9400</v>
      </c>
      <c r="D451" s="79">
        <f t="shared" si="38"/>
        <v>0</v>
      </c>
      <c r="E451" s="7">
        <f t="shared" si="39"/>
        <v>0</v>
      </c>
    </row>
    <row r="452" spans="1:5" x14ac:dyDescent="0.2">
      <c r="A452" s="54" t="s">
        <v>248</v>
      </c>
      <c r="B452" s="80">
        <v>5500</v>
      </c>
      <c r="C452" s="80">
        <v>5500</v>
      </c>
      <c r="D452" s="79">
        <f t="shared" si="38"/>
        <v>0</v>
      </c>
      <c r="E452" s="7">
        <f t="shared" si="39"/>
        <v>0</v>
      </c>
    </row>
    <row r="453" spans="1:5" x14ac:dyDescent="0.2">
      <c r="A453" s="54" t="s">
        <v>249</v>
      </c>
      <c r="B453" s="80">
        <v>4000</v>
      </c>
      <c r="C453" s="80">
        <v>4000</v>
      </c>
      <c r="D453" s="79">
        <f t="shared" si="38"/>
        <v>0</v>
      </c>
      <c r="E453" s="7">
        <f t="shared" si="39"/>
        <v>0</v>
      </c>
    </row>
    <row r="454" spans="1:5" ht="13.5" thickBot="1" x14ac:dyDescent="0.25">
      <c r="A454" s="55" t="s">
        <v>250</v>
      </c>
      <c r="B454" s="80">
        <v>50000</v>
      </c>
      <c r="C454" s="80">
        <v>46000</v>
      </c>
      <c r="D454" s="79">
        <f t="shared" si="38"/>
        <v>4000</v>
      </c>
      <c r="E454" s="7">
        <f t="shared" si="39"/>
        <v>8.6956521739130432E-2</v>
      </c>
    </row>
    <row r="455" spans="1:5" x14ac:dyDescent="0.2">
      <c r="A455" s="53" t="s">
        <v>251</v>
      </c>
      <c r="B455" s="81">
        <f>SUM(B447:B454)</f>
        <v>103100</v>
      </c>
      <c r="C455" s="81">
        <f>SUM(C447:C454)</f>
        <v>97100</v>
      </c>
      <c r="D455" s="81">
        <f t="shared" si="38"/>
        <v>6000</v>
      </c>
      <c r="E455" s="8">
        <f>(B455-C455)/C455</f>
        <v>6.1791967044284246E-2</v>
      </c>
    </row>
    <row r="456" spans="1:5" x14ac:dyDescent="0.2">
      <c r="A456" s="56"/>
      <c r="B456" s="82"/>
      <c r="C456" s="82"/>
      <c r="D456" s="82"/>
      <c r="E456" s="9"/>
    </row>
    <row r="457" spans="1:5" x14ac:dyDescent="0.2">
      <c r="A457" s="53" t="s">
        <v>252</v>
      </c>
      <c r="B457" s="79"/>
      <c r="C457" s="79"/>
      <c r="D457" s="79"/>
      <c r="E457" s="7"/>
    </row>
    <row r="458" spans="1:5" x14ac:dyDescent="0.2">
      <c r="A458" s="54" t="s">
        <v>253</v>
      </c>
      <c r="B458" s="80">
        <v>56000</v>
      </c>
      <c r="C458" s="80">
        <v>56000</v>
      </c>
      <c r="D458" s="79">
        <f>B458-C458</f>
        <v>0</v>
      </c>
      <c r="E458" s="7">
        <f>D458/C458</f>
        <v>0</v>
      </c>
    </row>
    <row r="459" spans="1:5" x14ac:dyDescent="0.2">
      <c r="A459" s="54" t="s">
        <v>254</v>
      </c>
      <c r="B459" s="80">
        <v>1000</v>
      </c>
      <c r="C459" s="80">
        <v>1000</v>
      </c>
      <c r="D459" s="79">
        <f>B459-C459</f>
        <v>0</v>
      </c>
      <c r="E459" s="7">
        <f>D459/C459</f>
        <v>0</v>
      </c>
    </row>
    <row r="460" spans="1:5" x14ac:dyDescent="0.2">
      <c r="A460" s="54" t="s">
        <v>255</v>
      </c>
      <c r="B460" s="80">
        <v>5000</v>
      </c>
      <c r="C460" s="80">
        <v>5000</v>
      </c>
      <c r="D460" s="79">
        <f>B460-C460</f>
        <v>0</v>
      </c>
      <c r="E460" s="7">
        <f>D460/C460</f>
        <v>0</v>
      </c>
    </row>
    <row r="461" spans="1:5" ht="13.5" thickBot="1" x14ac:dyDescent="0.25">
      <c r="A461" s="55" t="s">
        <v>256</v>
      </c>
      <c r="B461" s="80">
        <v>1000</v>
      </c>
      <c r="C461" s="80">
        <v>1000</v>
      </c>
      <c r="D461" s="79">
        <f>B461-C461</f>
        <v>0</v>
      </c>
      <c r="E461" s="7">
        <f>D461/C461</f>
        <v>0</v>
      </c>
    </row>
    <row r="462" spans="1:5" x14ac:dyDescent="0.2">
      <c r="A462" s="53" t="s">
        <v>257</v>
      </c>
      <c r="B462" s="81">
        <f>SUM(B458:B461)</f>
        <v>63000</v>
      </c>
      <c r="C462" s="81">
        <f>SUM(C458:C461)</f>
        <v>63000</v>
      </c>
      <c r="D462" s="81">
        <f>B462-C462</f>
        <v>0</v>
      </c>
      <c r="E462" s="8">
        <f>(B462-C462)/C462</f>
        <v>0</v>
      </c>
    </row>
    <row r="463" spans="1:5" x14ac:dyDescent="0.2">
      <c r="A463" s="56"/>
      <c r="B463" s="82"/>
      <c r="C463" s="82"/>
      <c r="D463" s="82"/>
      <c r="E463" s="9"/>
    </row>
    <row r="464" spans="1:5" x14ac:dyDescent="0.2">
      <c r="A464" s="53" t="s">
        <v>91</v>
      </c>
      <c r="B464" s="79"/>
      <c r="C464" s="79"/>
      <c r="D464" s="79"/>
      <c r="E464" s="7"/>
    </row>
    <row r="465" spans="1:5" x14ac:dyDescent="0.2">
      <c r="A465" s="54" t="s">
        <v>258</v>
      </c>
      <c r="B465" s="80">
        <v>5000</v>
      </c>
      <c r="C465" s="80">
        <v>5000</v>
      </c>
      <c r="D465" s="79">
        <f t="shared" ref="D465:D473" si="40">B465-C465</f>
        <v>0</v>
      </c>
      <c r="E465" s="7">
        <f t="shared" ref="E465:E472" si="41">D465/C465</f>
        <v>0</v>
      </c>
    </row>
    <row r="466" spans="1:5" x14ac:dyDescent="0.2">
      <c r="A466" s="54" t="s">
        <v>259</v>
      </c>
      <c r="B466" s="80">
        <v>10000</v>
      </c>
      <c r="C466" s="80">
        <v>10000</v>
      </c>
      <c r="D466" s="79">
        <f t="shared" si="40"/>
        <v>0</v>
      </c>
      <c r="E466" s="7">
        <f t="shared" si="41"/>
        <v>0</v>
      </c>
    </row>
    <row r="467" spans="1:5" x14ac:dyDescent="0.2">
      <c r="A467" s="54" t="s">
        <v>260</v>
      </c>
      <c r="B467" s="80">
        <v>4600</v>
      </c>
      <c r="C467" s="80">
        <v>4600</v>
      </c>
      <c r="D467" s="79">
        <f t="shared" si="40"/>
        <v>0</v>
      </c>
      <c r="E467" s="7">
        <f t="shared" si="41"/>
        <v>0</v>
      </c>
    </row>
    <row r="468" spans="1:5" x14ac:dyDescent="0.2">
      <c r="A468" s="54" t="s">
        <v>609</v>
      </c>
      <c r="B468" s="80">
        <v>5000</v>
      </c>
      <c r="C468" s="80">
        <v>5000</v>
      </c>
      <c r="D468" s="79">
        <f t="shared" si="40"/>
        <v>0</v>
      </c>
      <c r="E468" s="7">
        <f t="shared" si="41"/>
        <v>0</v>
      </c>
    </row>
    <row r="469" spans="1:5" x14ac:dyDescent="0.2">
      <c r="A469" s="54" t="s">
        <v>610</v>
      </c>
      <c r="B469" s="80">
        <v>15000</v>
      </c>
      <c r="C469" s="80">
        <v>15000</v>
      </c>
      <c r="D469" s="79">
        <f t="shared" si="40"/>
        <v>0</v>
      </c>
      <c r="E469" s="7">
        <f t="shared" si="41"/>
        <v>0</v>
      </c>
    </row>
    <row r="470" spans="1:5" x14ac:dyDescent="0.2">
      <c r="A470" s="54" t="s">
        <v>261</v>
      </c>
      <c r="B470" s="80">
        <v>36000</v>
      </c>
      <c r="C470" s="80">
        <v>36000</v>
      </c>
      <c r="D470" s="79">
        <f t="shared" si="40"/>
        <v>0</v>
      </c>
      <c r="E470" s="7">
        <f t="shared" si="41"/>
        <v>0</v>
      </c>
    </row>
    <row r="471" spans="1:5" x14ac:dyDescent="0.2">
      <c r="A471" s="54" t="s">
        <v>262</v>
      </c>
      <c r="B471" s="80">
        <v>100</v>
      </c>
      <c r="C471" s="80">
        <v>100</v>
      </c>
      <c r="D471" s="79">
        <f t="shared" si="40"/>
        <v>0</v>
      </c>
      <c r="E471" s="7">
        <f t="shared" si="41"/>
        <v>0</v>
      </c>
    </row>
    <row r="472" spans="1:5" ht="13.5" thickBot="1" x14ac:dyDescent="0.25">
      <c r="A472" s="55" t="s">
        <v>263</v>
      </c>
      <c r="B472" s="80">
        <v>5000</v>
      </c>
      <c r="C472" s="80">
        <v>4100</v>
      </c>
      <c r="D472" s="79">
        <f t="shared" si="40"/>
        <v>900</v>
      </c>
      <c r="E472" s="7">
        <f t="shared" si="41"/>
        <v>0.21951219512195122</v>
      </c>
    </row>
    <row r="473" spans="1:5" x14ac:dyDescent="0.2">
      <c r="A473" s="53" t="s">
        <v>94</v>
      </c>
      <c r="B473" s="81">
        <f>SUM(B465:B472)</f>
        <v>80700</v>
      </c>
      <c r="C473" s="81">
        <f>SUM(C465:C472)</f>
        <v>79800</v>
      </c>
      <c r="D473" s="81">
        <f t="shared" si="40"/>
        <v>900</v>
      </c>
      <c r="E473" s="8">
        <f>(B473-C473)/C473</f>
        <v>1.1278195488721804E-2</v>
      </c>
    </row>
    <row r="474" spans="1:5" x14ac:dyDescent="0.2">
      <c r="A474" s="56"/>
      <c r="B474" s="82"/>
      <c r="C474" s="82"/>
      <c r="D474" s="82"/>
      <c r="E474" s="9"/>
    </row>
    <row r="475" spans="1:5" x14ac:dyDescent="0.2">
      <c r="A475" s="53" t="s">
        <v>264</v>
      </c>
      <c r="B475" s="79"/>
      <c r="C475" s="79"/>
      <c r="D475" s="79"/>
      <c r="E475" s="7"/>
    </row>
    <row r="476" spans="1:5" x14ac:dyDescent="0.2">
      <c r="A476" s="54" t="s">
        <v>265</v>
      </c>
      <c r="B476" s="80">
        <v>1000</v>
      </c>
      <c r="C476" s="80">
        <v>1000</v>
      </c>
      <c r="D476" s="79">
        <f>B476-C476</f>
        <v>0</v>
      </c>
      <c r="E476" s="7">
        <f>D476/C476</f>
        <v>0</v>
      </c>
    </row>
    <row r="477" spans="1:5" x14ac:dyDescent="0.2">
      <c r="A477" s="54" t="s">
        <v>266</v>
      </c>
      <c r="B477" s="80">
        <v>56830</v>
      </c>
      <c r="C477" s="80">
        <v>56830</v>
      </c>
      <c r="D477" s="79">
        <f>B477-C477</f>
        <v>0</v>
      </c>
      <c r="E477" s="7">
        <f>D477/C477</f>
        <v>0</v>
      </c>
    </row>
    <row r="478" spans="1:5" x14ac:dyDescent="0.2">
      <c r="A478" s="54" t="s">
        <v>267</v>
      </c>
      <c r="B478" s="80">
        <v>42866</v>
      </c>
      <c r="C478" s="80">
        <v>42866</v>
      </c>
      <c r="D478" s="79">
        <f>B478-C478</f>
        <v>0</v>
      </c>
      <c r="E478" s="7">
        <f>D478/C478</f>
        <v>0</v>
      </c>
    </row>
    <row r="479" spans="1:5" ht="13.5" thickBot="1" x14ac:dyDescent="0.25">
      <c r="A479" s="55" t="s">
        <v>268</v>
      </c>
      <c r="B479" s="80">
        <v>47000</v>
      </c>
      <c r="C479" s="80">
        <v>56020</v>
      </c>
      <c r="D479" s="79">
        <f>B479-C479</f>
        <v>-9020</v>
      </c>
      <c r="E479" s="7">
        <f>D479/C479</f>
        <v>-0.16101392359871475</v>
      </c>
    </row>
    <row r="480" spans="1:5" x14ac:dyDescent="0.2">
      <c r="A480" s="53" t="s">
        <v>269</v>
      </c>
      <c r="B480" s="81">
        <f>SUM(B476:B479)</f>
        <v>147696</v>
      </c>
      <c r="C480" s="81">
        <f>SUM(C476:C479)</f>
        <v>156716</v>
      </c>
      <c r="D480" s="81">
        <f>B480-C480</f>
        <v>-9020</v>
      </c>
      <c r="E480" s="8">
        <f>(B480-C480)/C480</f>
        <v>-5.7556343959774367E-2</v>
      </c>
    </row>
    <row r="481" spans="1:7" x14ac:dyDescent="0.2">
      <c r="A481" s="56"/>
      <c r="B481" s="82"/>
      <c r="C481" s="82"/>
      <c r="D481" s="82"/>
      <c r="E481" s="9"/>
    </row>
    <row r="482" spans="1:7" x14ac:dyDescent="0.2">
      <c r="A482" s="53" t="s">
        <v>270</v>
      </c>
      <c r="B482" s="79"/>
      <c r="C482" s="79"/>
      <c r="D482" s="79"/>
      <c r="E482" s="7"/>
    </row>
    <row r="483" spans="1:7" x14ac:dyDescent="0.2">
      <c r="A483" s="54" t="s">
        <v>271</v>
      </c>
      <c r="B483" s="80">
        <v>15000</v>
      </c>
      <c r="C483" s="80">
        <v>15000</v>
      </c>
      <c r="D483" s="79">
        <f>B483-C483</f>
        <v>0</v>
      </c>
      <c r="E483" s="7">
        <f>D483/C483</f>
        <v>0</v>
      </c>
    </row>
    <row r="484" spans="1:7" x14ac:dyDescent="0.2">
      <c r="A484" s="54" t="s">
        <v>272</v>
      </c>
      <c r="B484" s="80">
        <v>13000</v>
      </c>
      <c r="C484" s="80">
        <v>13000</v>
      </c>
      <c r="D484" s="79">
        <f>B484-C484</f>
        <v>0</v>
      </c>
      <c r="E484" s="7">
        <f>D484/C484</f>
        <v>0</v>
      </c>
    </row>
    <row r="485" spans="1:7" x14ac:dyDescent="0.2">
      <c r="A485" s="54" t="s">
        <v>273</v>
      </c>
      <c r="B485" s="80">
        <v>17000</v>
      </c>
      <c r="C485" s="80">
        <v>17000</v>
      </c>
      <c r="D485" s="79">
        <f>B485-C485</f>
        <v>0</v>
      </c>
      <c r="E485" s="7">
        <f>D485/C485</f>
        <v>0</v>
      </c>
    </row>
    <row r="486" spans="1:7" ht="13.5" thickBot="1" x14ac:dyDescent="0.25">
      <c r="A486" s="55" t="s">
        <v>274</v>
      </c>
      <c r="B486" s="80">
        <f>ROUND(SUM(B483:B485,B477:B479)*0.22,0)</f>
        <v>42173</v>
      </c>
      <c r="C486" s="80">
        <v>41000</v>
      </c>
      <c r="D486" s="79">
        <f>B486-C486</f>
        <v>1173</v>
      </c>
      <c r="E486" s="7">
        <f>D486/C486</f>
        <v>2.8609756097560977E-2</v>
      </c>
    </row>
    <row r="487" spans="1:7" x14ac:dyDescent="0.2">
      <c r="A487" s="53" t="s">
        <v>275</v>
      </c>
      <c r="B487" s="81">
        <f>SUM(B483:B486)</f>
        <v>87173</v>
      </c>
      <c r="C487" s="81">
        <f>SUM(C483:C486)</f>
        <v>86000</v>
      </c>
      <c r="D487" s="81">
        <f>B487-C487</f>
        <v>1173</v>
      </c>
      <c r="E487" s="8">
        <f>(B487-C487)/C487</f>
        <v>1.363953488372093E-2</v>
      </c>
    </row>
    <row r="488" spans="1:7" ht="13.5" thickBot="1" x14ac:dyDescent="0.25">
      <c r="A488" s="58"/>
      <c r="B488" s="85"/>
      <c r="C488" s="85"/>
      <c r="D488" s="85"/>
      <c r="E488" s="13"/>
    </row>
    <row r="489" spans="1:7" ht="13.5" thickBot="1" x14ac:dyDescent="0.25">
      <c r="A489" s="62" t="s">
        <v>575</v>
      </c>
      <c r="B489" s="94">
        <v>-160500</v>
      </c>
      <c r="C489" s="94">
        <v>-160500</v>
      </c>
      <c r="D489" s="94">
        <f>B489-C489</f>
        <v>0</v>
      </c>
      <c r="E489" s="14"/>
      <c r="G489" s="100"/>
    </row>
    <row r="490" spans="1:7" ht="13.5" thickBot="1" x14ac:dyDescent="0.25">
      <c r="A490" s="58" t="s">
        <v>589</v>
      </c>
      <c r="B490" s="83">
        <f>SUM(B489,B487,B480,B473,B462,B455,B444)</f>
        <v>342069</v>
      </c>
      <c r="C490" s="83">
        <f>SUM(C489,C487,C480,C473,C462,C455,C444)</f>
        <v>343016</v>
      </c>
      <c r="D490" s="83">
        <f>B490-C490</f>
        <v>-947</v>
      </c>
      <c r="E490" s="10">
        <f>(B490-C490)/C490</f>
        <v>-2.7608041607388575E-3</v>
      </c>
    </row>
    <row r="491" spans="1:7" ht="13.5" thickBot="1" x14ac:dyDescent="0.25">
      <c r="A491" s="59"/>
      <c r="B491" s="88"/>
      <c r="C491" s="88"/>
      <c r="D491" s="88"/>
      <c r="E491" s="12"/>
    </row>
    <row r="492" spans="1:7" x14ac:dyDescent="0.2">
      <c r="A492" s="52" t="s">
        <v>493</v>
      </c>
      <c r="B492" s="78"/>
      <c r="C492" s="78"/>
      <c r="D492" s="78"/>
      <c r="E492" s="3"/>
    </row>
    <row r="493" spans="1:7" x14ac:dyDescent="0.2">
      <c r="A493" s="53" t="s">
        <v>88</v>
      </c>
      <c r="B493" s="79"/>
      <c r="C493" s="79"/>
      <c r="D493" s="79"/>
      <c r="E493" s="7"/>
    </row>
    <row r="494" spans="1:7" ht="13.5" thickBot="1" x14ac:dyDescent="0.25">
      <c r="A494" s="55" t="s">
        <v>276</v>
      </c>
      <c r="B494" s="80">
        <v>4500</v>
      </c>
      <c r="C494" s="80">
        <v>5000</v>
      </c>
      <c r="D494" s="79">
        <f>B494-C494</f>
        <v>-500</v>
      </c>
      <c r="E494" s="7">
        <f>D494/C494</f>
        <v>-0.1</v>
      </c>
    </row>
    <row r="495" spans="1:7" ht="13.5" thickBot="1" x14ac:dyDescent="0.25">
      <c r="A495" s="58" t="s">
        <v>578</v>
      </c>
      <c r="B495" s="83">
        <f>SUM(B494)</f>
        <v>4500</v>
      </c>
      <c r="C495" s="83">
        <f>SUM(C494)</f>
        <v>5000</v>
      </c>
      <c r="D495" s="83">
        <f>B495-C495</f>
        <v>-500</v>
      </c>
      <c r="E495" s="10">
        <f>(B495-C495)/C495</f>
        <v>-0.1</v>
      </c>
    </row>
    <row r="496" spans="1:7" ht="13.5" thickBot="1" x14ac:dyDescent="0.25">
      <c r="A496" s="59"/>
      <c r="B496" s="88"/>
      <c r="C496" s="88"/>
      <c r="D496" s="88"/>
      <c r="E496" s="12"/>
    </row>
    <row r="497" spans="1:5" x14ac:dyDescent="0.2">
      <c r="A497" s="52" t="s">
        <v>494</v>
      </c>
      <c r="B497" s="86"/>
      <c r="C497" s="86"/>
      <c r="D497" s="86"/>
      <c r="E497" s="45"/>
    </row>
    <row r="498" spans="1:5" x14ac:dyDescent="0.2">
      <c r="A498" s="52"/>
      <c r="B498" s="79"/>
      <c r="C498" s="79"/>
      <c r="D498" s="79"/>
      <c r="E498" s="7"/>
    </row>
    <row r="499" spans="1:5" ht="13.5" thickBot="1" x14ac:dyDescent="0.25">
      <c r="A499" s="55" t="s">
        <v>576</v>
      </c>
      <c r="B499" s="80">
        <v>500</v>
      </c>
      <c r="C499" s="80">
        <v>500</v>
      </c>
      <c r="D499" s="79">
        <f>B499-C499</f>
        <v>0</v>
      </c>
      <c r="E499" s="7">
        <f>D499/C499</f>
        <v>0</v>
      </c>
    </row>
    <row r="500" spans="1:5" x14ac:dyDescent="0.2">
      <c r="A500" s="53" t="s">
        <v>577</v>
      </c>
      <c r="B500" s="81">
        <f>SUM(B499:B499)</f>
        <v>500</v>
      </c>
      <c r="C500" s="81">
        <f>SUM(C499:C499)</f>
        <v>500</v>
      </c>
      <c r="D500" s="81">
        <f>B500-C500</f>
        <v>0</v>
      </c>
      <c r="E500" s="8">
        <f>(B500-C500)/C500</f>
        <v>0</v>
      </c>
    </row>
    <row r="501" spans="1:5" x14ac:dyDescent="0.2">
      <c r="A501" s="52"/>
      <c r="B501" s="79"/>
      <c r="C501" s="79"/>
      <c r="D501" s="79"/>
      <c r="E501" s="7"/>
    </row>
    <row r="502" spans="1:5" x14ac:dyDescent="0.2">
      <c r="A502" s="53" t="s">
        <v>277</v>
      </c>
      <c r="B502" s="79"/>
      <c r="C502" s="79"/>
      <c r="D502" s="79"/>
      <c r="E502" s="7"/>
    </row>
    <row r="503" spans="1:5" x14ac:dyDescent="0.2">
      <c r="A503" s="53" t="s">
        <v>278</v>
      </c>
      <c r="B503" s="79"/>
      <c r="C503" s="79"/>
      <c r="D503" s="79"/>
      <c r="E503" s="7"/>
    </row>
    <row r="504" spans="1:5" ht="13.5" thickBot="1" x14ac:dyDescent="0.25">
      <c r="A504" s="55" t="s">
        <v>279</v>
      </c>
      <c r="B504" s="80">
        <v>8000</v>
      </c>
      <c r="C504" s="80">
        <v>8000</v>
      </c>
      <c r="D504" s="79">
        <f>B504-C504</f>
        <v>0</v>
      </c>
      <c r="E504" s="7">
        <f>D504/C504</f>
        <v>0</v>
      </c>
    </row>
    <row r="505" spans="1:5" x14ac:dyDescent="0.2">
      <c r="A505" s="53" t="s">
        <v>280</v>
      </c>
      <c r="B505" s="81">
        <f>SUM(B504:B504)</f>
        <v>8000</v>
      </c>
      <c r="C505" s="81">
        <f>SUM(C504:C504)</f>
        <v>8000</v>
      </c>
      <c r="D505" s="81">
        <f>B505-C505</f>
        <v>0</v>
      </c>
      <c r="E505" s="8">
        <f>(B505-C505)/C505</f>
        <v>0</v>
      </c>
    </row>
    <row r="506" spans="1:5" x14ac:dyDescent="0.2">
      <c r="A506" s="56"/>
      <c r="B506" s="82"/>
      <c r="C506" s="82"/>
      <c r="D506" s="82"/>
      <c r="E506" s="9"/>
    </row>
    <row r="507" spans="1:5" x14ac:dyDescent="0.2">
      <c r="A507" s="53" t="s">
        <v>281</v>
      </c>
      <c r="B507" s="79"/>
      <c r="C507" s="79"/>
      <c r="D507" s="79"/>
      <c r="E507" s="7"/>
    </row>
    <row r="508" spans="1:5" x14ac:dyDescent="0.2">
      <c r="A508" s="54" t="s">
        <v>282</v>
      </c>
      <c r="B508" s="80">
        <v>1000</v>
      </c>
      <c r="C508" s="80">
        <v>1500</v>
      </c>
      <c r="D508" s="79">
        <f>B508-C508</f>
        <v>-500</v>
      </c>
      <c r="E508" s="7">
        <f>D508/C508</f>
        <v>-0.33333333333333331</v>
      </c>
    </row>
    <row r="509" spans="1:5" x14ac:dyDescent="0.2">
      <c r="A509" s="54" t="s">
        <v>283</v>
      </c>
      <c r="B509" s="80">
        <v>2500</v>
      </c>
      <c r="C509" s="80">
        <v>2500</v>
      </c>
      <c r="D509" s="79">
        <f>B509-C509</f>
        <v>0</v>
      </c>
      <c r="E509" s="7">
        <f>D509/C509</f>
        <v>0</v>
      </c>
    </row>
    <row r="510" spans="1:5" x14ac:dyDescent="0.2">
      <c r="A510" s="54" t="s">
        <v>284</v>
      </c>
      <c r="B510" s="80">
        <v>27000</v>
      </c>
      <c r="C510" s="80">
        <v>51904</v>
      </c>
      <c r="D510" s="79">
        <f>B510-C510</f>
        <v>-24904</v>
      </c>
      <c r="E510" s="7">
        <f>D510/C510</f>
        <v>-0.47980887792848337</v>
      </c>
    </row>
    <row r="511" spans="1:5" ht="13.5" thickBot="1" x14ac:dyDescent="0.25">
      <c r="A511" s="55" t="s">
        <v>285</v>
      </c>
      <c r="B511" s="80">
        <f>ROUND((B510*0.22),0)</f>
        <v>5940</v>
      </c>
      <c r="C511" s="80">
        <v>10381</v>
      </c>
      <c r="D511" s="79">
        <f>B511-C511</f>
        <v>-4441</v>
      </c>
      <c r="E511" s="7">
        <f>D511/C511</f>
        <v>-0.42780078990463344</v>
      </c>
    </row>
    <row r="512" spans="1:5" x14ac:dyDescent="0.2">
      <c r="A512" s="53" t="s">
        <v>286</v>
      </c>
      <c r="B512" s="81">
        <f>SUM(B508:B511)</f>
        <v>36440</v>
      </c>
      <c r="C512" s="81">
        <f>SUM(C508:C511)</f>
        <v>66285</v>
      </c>
      <c r="D512" s="81">
        <f>B512-C512</f>
        <v>-29845</v>
      </c>
      <c r="E512" s="8">
        <f>(B512-C512)/C512</f>
        <v>-0.4502526966885419</v>
      </c>
    </row>
    <row r="513" spans="1:5" ht="13.5" thickBot="1" x14ac:dyDescent="0.25">
      <c r="A513" s="57"/>
      <c r="B513" s="82"/>
      <c r="C513" s="82"/>
      <c r="D513" s="82"/>
      <c r="E513" s="9"/>
    </row>
    <row r="514" spans="1:5" ht="13.5" thickBot="1" x14ac:dyDescent="0.25">
      <c r="A514" s="58" t="s">
        <v>536</v>
      </c>
      <c r="B514" s="83">
        <f>B512+B505+B500</f>
        <v>44940</v>
      </c>
      <c r="C514" s="83">
        <f>C512+C505+C500</f>
        <v>74785</v>
      </c>
      <c r="D514" s="83">
        <f>B514-C514</f>
        <v>-29845</v>
      </c>
      <c r="E514" s="10">
        <f>(B514-C514)/C514</f>
        <v>-0.39907735508457576</v>
      </c>
    </row>
    <row r="515" spans="1:5" ht="13.5" thickBot="1" x14ac:dyDescent="0.25">
      <c r="A515" s="59"/>
      <c r="B515" s="88"/>
      <c r="C515" s="88"/>
      <c r="D515" s="88"/>
      <c r="E515" s="12"/>
    </row>
    <row r="516" spans="1:5" x14ac:dyDescent="0.2">
      <c r="A516" s="52" t="s">
        <v>495</v>
      </c>
      <c r="B516" s="78"/>
      <c r="C516" s="78"/>
      <c r="D516" s="78"/>
      <c r="E516" s="3"/>
    </row>
    <row r="517" spans="1:5" x14ac:dyDescent="0.2">
      <c r="A517" s="53" t="s">
        <v>88</v>
      </c>
      <c r="B517" s="79"/>
      <c r="C517" s="79"/>
      <c r="D517" s="79"/>
      <c r="E517" s="7"/>
    </row>
    <row r="518" spans="1:5" x14ac:dyDescent="0.2">
      <c r="A518" s="54" t="s">
        <v>287</v>
      </c>
      <c r="B518" s="80">
        <v>400</v>
      </c>
      <c r="C518" s="80">
        <v>400</v>
      </c>
      <c r="D518" s="79">
        <f t="shared" ref="D518:D523" si="42">B518-C518</f>
        <v>0</v>
      </c>
      <c r="E518" s="7">
        <f>D518/C518</f>
        <v>0</v>
      </c>
    </row>
    <row r="519" spans="1:5" x14ac:dyDescent="0.2">
      <c r="A519" s="54" t="s">
        <v>288</v>
      </c>
      <c r="B519" s="80">
        <v>400</v>
      </c>
      <c r="C519" s="80">
        <v>400</v>
      </c>
      <c r="D519" s="79">
        <f t="shared" si="42"/>
        <v>0</v>
      </c>
      <c r="E519" s="7">
        <f>D519/C519</f>
        <v>0</v>
      </c>
    </row>
    <row r="520" spans="1:5" x14ac:dyDescent="0.2">
      <c r="A520" s="54" t="s">
        <v>289</v>
      </c>
      <c r="B520" s="80">
        <v>400</v>
      </c>
      <c r="C520" s="80">
        <v>400</v>
      </c>
      <c r="D520" s="79">
        <f t="shared" si="42"/>
        <v>0</v>
      </c>
      <c r="E520" s="7">
        <f>D520/C520</f>
        <v>0</v>
      </c>
    </row>
    <row r="521" spans="1:5" x14ac:dyDescent="0.2">
      <c r="A521" s="54" t="s">
        <v>290</v>
      </c>
      <c r="B521" s="80">
        <v>160</v>
      </c>
      <c r="C521" s="80">
        <v>160</v>
      </c>
      <c r="D521" s="79">
        <f t="shared" si="42"/>
        <v>0</v>
      </c>
      <c r="E521" s="7">
        <f>D521/C521</f>
        <v>0</v>
      </c>
    </row>
    <row r="522" spans="1:5" ht="13.5" thickBot="1" x14ac:dyDescent="0.25">
      <c r="A522" s="55" t="s">
        <v>291</v>
      </c>
      <c r="B522" s="80">
        <v>160</v>
      </c>
      <c r="C522" s="80">
        <v>160</v>
      </c>
      <c r="D522" s="79">
        <f t="shared" si="42"/>
        <v>0</v>
      </c>
      <c r="E522" s="7">
        <f>D522/C522</f>
        <v>0</v>
      </c>
    </row>
    <row r="523" spans="1:5" x14ac:dyDescent="0.2">
      <c r="A523" s="53" t="s">
        <v>90</v>
      </c>
      <c r="B523" s="81">
        <f>SUM(B518:B522)</f>
        <v>1520</v>
      </c>
      <c r="C523" s="81">
        <f>SUM(C518:C522)</f>
        <v>1520</v>
      </c>
      <c r="D523" s="81">
        <f t="shared" si="42"/>
        <v>0</v>
      </c>
      <c r="E523" s="8">
        <f>(B523-C523)/C523</f>
        <v>0</v>
      </c>
    </row>
    <row r="524" spans="1:5" x14ac:dyDescent="0.2">
      <c r="A524" s="56"/>
      <c r="B524" s="82"/>
      <c r="C524" s="82"/>
      <c r="D524" s="82"/>
      <c r="E524" s="9"/>
    </row>
    <row r="525" spans="1:5" x14ac:dyDescent="0.2">
      <c r="A525" s="53" t="s">
        <v>292</v>
      </c>
      <c r="B525" s="79"/>
      <c r="C525" s="79"/>
      <c r="D525" s="79"/>
      <c r="E525" s="7"/>
    </row>
    <row r="526" spans="1:5" x14ac:dyDescent="0.2">
      <c r="A526" s="54" t="s">
        <v>293</v>
      </c>
      <c r="B526" s="80">
        <v>2000</v>
      </c>
      <c r="C526" s="80">
        <v>2000</v>
      </c>
      <c r="D526" s="79">
        <f>B526-C526</f>
        <v>0</v>
      </c>
      <c r="E526" s="7">
        <f>D526/C526</f>
        <v>0</v>
      </c>
    </row>
    <row r="527" spans="1:5" x14ac:dyDescent="0.2">
      <c r="A527" s="54" t="s">
        <v>294</v>
      </c>
      <c r="B527" s="80">
        <v>500</v>
      </c>
      <c r="C527" s="80">
        <v>500</v>
      </c>
      <c r="D527" s="79">
        <f>B527-C527</f>
        <v>0</v>
      </c>
      <c r="E527" s="7">
        <f>D527/C527</f>
        <v>0</v>
      </c>
    </row>
    <row r="528" spans="1:5" ht="13.5" thickBot="1" x14ac:dyDescent="0.25">
      <c r="A528" s="55" t="s">
        <v>295</v>
      </c>
      <c r="B528" s="80">
        <v>3000</v>
      </c>
      <c r="C528" s="80">
        <v>3000</v>
      </c>
      <c r="D528" s="79">
        <f>B528-C528</f>
        <v>0</v>
      </c>
      <c r="E528" s="7">
        <f>D528/C528</f>
        <v>0</v>
      </c>
    </row>
    <row r="529" spans="1:5" x14ac:dyDescent="0.2">
      <c r="A529" s="53" t="s">
        <v>296</v>
      </c>
      <c r="B529" s="81">
        <f>SUM(B526:B528)</f>
        <v>5500</v>
      </c>
      <c r="C529" s="81">
        <f>SUM(C526:C528)</f>
        <v>5500</v>
      </c>
      <c r="D529" s="81">
        <f>B529-C529</f>
        <v>0</v>
      </c>
      <c r="E529" s="8">
        <f>(B529-C529)/C529</f>
        <v>0</v>
      </c>
    </row>
    <row r="530" spans="1:5" x14ac:dyDescent="0.2">
      <c r="A530" s="56"/>
      <c r="B530" s="82"/>
      <c r="C530" s="82"/>
      <c r="D530" s="82"/>
      <c r="E530" s="9"/>
    </row>
    <row r="531" spans="1:5" x14ac:dyDescent="0.2">
      <c r="A531" s="53" t="s">
        <v>297</v>
      </c>
      <c r="B531" s="79"/>
      <c r="C531" s="79"/>
      <c r="D531" s="79"/>
      <c r="E531" s="7"/>
    </row>
    <row r="532" spans="1:5" x14ac:dyDescent="0.2">
      <c r="A532" s="54" t="s">
        <v>624</v>
      </c>
      <c r="B532" s="80">
        <v>14000</v>
      </c>
      <c r="C532" s="80">
        <v>14000</v>
      </c>
      <c r="D532" s="79">
        <f>B532-C532</f>
        <v>0</v>
      </c>
      <c r="E532" s="7">
        <f>D532/C532</f>
        <v>0</v>
      </c>
    </row>
    <row r="533" spans="1:5" x14ac:dyDescent="0.2">
      <c r="A533" s="54" t="s">
        <v>298</v>
      </c>
      <c r="B533" s="80">
        <v>14000</v>
      </c>
      <c r="C533" s="80">
        <v>14000</v>
      </c>
      <c r="D533" s="79">
        <f>B533-C533</f>
        <v>0</v>
      </c>
      <c r="E533" s="7">
        <f>D533/C533</f>
        <v>0</v>
      </c>
    </row>
    <row r="534" spans="1:5" ht="13.5" thickBot="1" x14ac:dyDescent="0.25">
      <c r="A534" s="55" t="s">
        <v>299</v>
      </c>
      <c r="B534" s="80">
        <v>6200</v>
      </c>
      <c r="C534" s="80">
        <v>5600</v>
      </c>
      <c r="D534" s="79">
        <f>B534-C534</f>
        <v>600</v>
      </c>
      <c r="E534" s="7">
        <f>D534/C534</f>
        <v>0.10714285714285714</v>
      </c>
    </row>
    <row r="535" spans="1:5" x14ac:dyDescent="0.2">
      <c r="A535" s="53" t="s">
        <v>300</v>
      </c>
      <c r="B535" s="81">
        <f>SUM(B532:B534)</f>
        <v>34200</v>
      </c>
      <c r="C535" s="81">
        <f>SUM(C532:C534)</f>
        <v>33600</v>
      </c>
      <c r="D535" s="81">
        <f>B535-C535</f>
        <v>600</v>
      </c>
      <c r="E535" s="8">
        <f>(B535-C535)/C535</f>
        <v>1.7857142857142856E-2</v>
      </c>
    </row>
    <row r="536" spans="1:5" ht="13.5" thickBot="1" x14ac:dyDescent="0.25">
      <c r="A536" s="57"/>
      <c r="B536" s="82"/>
      <c r="C536" s="82"/>
      <c r="D536" s="82"/>
      <c r="E536" s="9"/>
    </row>
    <row r="537" spans="1:5" ht="13.5" thickBot="1" x14ac:dyDescent="0.25">
      <c r="A537" s="58" t="s">
        <v>537</v>
      </c>
      <c r="B537" s="83">
        <f>SUM(B535,B529,B523)</f>
        <v>41220</v>
      </c>
      <c r="C537" s="83">
        <f>SUM(C535,C529,C523)</f>
        <v>40620</v>
      </c>
      <c r="D537" s="83">
        <f>B537-C537</f>
        <v>600</v>
      </c>
      <c r="E537" s="10">
        <f>(B537-C537)/C537</f>
        <v>1.4771048744460856E-2</v>
      </c>
    </row>
    <row r="538" spans="1:5" ht="13.5" thickBot="1" x14ac:dyDescent="0.25">
      <c r="A538" s="59"/>
      <c r="B538" s="88"/>
      <c r="C538" s="88"/>
      <c r="D538" s="88"/>
      <c r="E538" s="12"/>
    </row>
    <row r="539" spans="1:5" x14ac:dyDescent="0.2">
      <c r="A539" s="52" t="s">
        <v>496</v>
      </c>
      <c r="B539" s="78"/>
      <c r="C539" s="78"/>
      <c r="D539" s="78"/>
      <c r="E539" s="3"/>
    </row>
    <row r="540" spans="1:5" x14ac:dyDescent="0.2">
      <c r="A540" s="53" t="s">
        <v>88</v>
      </c>
      <c r="B540" s="79"/>
      <c r="C540" s="79"/>
      <c r="D540" s="79"/>
      <c r="E540" s="7"/>
    </row>
    <row r="541" spans="1:5" x14ac:dyDescent="0.2">
      <c r="A541" s="54" t="s">
        <v>287</v>
      </c>
      <c r="B541" s="80">
        <v>500</v>
      </c>
      <c r="C541" s="80">
        <v>500</v>
      </c>
      <c r="D541" s="79">
        <f t="shared" ref="D541:D547" si="43">B541-C541</f>
        <v>0</v>
      </c>
      <c r="E541" s="7">
        <f t="shared" ref="E541:E546" si="44">D541/C541</f>
        <v>0</v>
      </c>
    </row>
    <row r="542" spans="1:5" x14ac:dyDescent="0.2">
      <c r="A542" s="54" t="s">
        <v>301</v>
      </c>
      <c r="B542" s="80">
        <v>800</v>
      </c>
      <c r="C542" s="80">
        <v>1000</v>
      </c>
      <c r="D542" s="79">
        <f t="shared" si="43"/>
        <v>-200</v>
      </c>
      <c r="E542" s="7">
        <f t="shared" si="44"/>
        <v>-0.2</v>
      </c>
    </row>
    <row r="543" spans="1:5" x14ac:dyDescent="0.2">
      <c r="A543" s="54" t="s">
        <v>302</v>
      </c>
      <c r="B543" s="80">
        <v>750</v>
      </c>
      <c r="C543" s="80">
        <v>750</v>
      </c>
      <c r="D543" s="79">
        <f t="shared" si="43"/>
        <v>0</v>
      </c>
      <c r="E543" s="7">
        <f t="shared" si="44"/>
        <v>0</v>
      </c>
    </row>
    <row r="544" spans="1:5" x14ac:dyDescent="0.2">
      <c r="A544" s="54" t="s">
        <v>303</v>
      </c>
      <c r="B544" s="80">
        <v>500</v>
      </c>
      <c r="C544" s="80">
        <v>500</v>
      </c>
      <c r="D544" s="79">
        <f t="shared" si="43"/>
        <v>0</v>
      </c>
      <c r="E544" s="7">
        <f t="shared" si="44"/>
        <v>0</v>
      </c>
    </row>
    <row r="545" spans="1:5" x14ac:dyDescent="0.2">
      <c r="A545" s="54" t="s">
        <v>304</v>
      </c>
      <c r="B545" s="80">
        <v>1000</v>
      </c>
      <c r="C545" s="80">
        <v>1000</v>
      </c>
      <c r="D545" s="79">
        <f t="shared" si="43"/>
        <v>0</v>
      </c>
      <c r="E545" s="7">
        <f t="shared" si="44"/>
        <v>0</v>
      </c>
    </row>
    <row r="546" spans="1:5" ht="13.5" thickBot="1" x14ac:dyDescent="0.25">
      <c r="A546" s="55" t="s">
        <v>305</v>
      </c>
      <c r="B546" s="80">
        <v>2500</v>
      </c>
      <c r="C546" s="80">
        <v>2500</v>
      </c>
      <c r="D546" s="79">
        <f t="shared" si="43"/>
        <v>0</v>
      </c>
      <c r="E546" s="7">
        <f t="shared" si="44"/>
        <v>0</v>
      </c>
    </row>
    <row r="547" spans="1:5" x14ac:dyDescent="0.2">
      <c r="A547" s="53" t="s">
        <v>90</v>
      </c>
      <c r="B547" s="81">
        <f>SUM(B541:B546)</f>
        <v>6050</v>
      </c>
      <c r="C547" s="81">
        <f>SUM(C541:C546)</f>
        <v>6250</v>
      </c>
      <c r="D547" s="81">
        <f t="shared" si="43"/>
        <v>-200</v>
      </c>
      <c r="E547" s="8">
        <f>(B547-C547)/C547</f>
        <v>-3.2000000000000001E-2</v>
      </c>
    </row>
    <row r="548" spans="1:5" x14ac:dyDescent="0.2">
      <c r="A548" s="56"/>
      <c r="B548" s="82"/>
      <c r="C548" s="82"/>
      <c r="D548" s="82"/>
      <c r="E548" s="9"/>
    </row>
    <row r="549" spans="1:5" x14ac:dyDescent="0.2">
      <c r="A549" s="53" t="s">
        <v>306</v>
      </c>
      <c r="B549" s="79"/>
      <c r="C549" s="79"/>
      <c r="D549" s="79"/>
      <c r="E549" s="7"/>
    </row>
    <row r="550" spans="1:5" ht="13.5" thickBot="1" x14ac:dyDescent="0.25">
      <c r="A550" s="55" t="s">
        <v>307</v>
      </c>
      <c r="B550" s="80">
        <v>9000</v>
      </c>
      <c r="C550" s="80">
        <v>9000</v>
      </c>
      <c r="D550" s="79">
        <f>B550-C550</f>
        <v>0</v>
      </c>
      <c r="E550" s="7">
        <f>D550/C550</f>
        <v>0</v>
      </c>
    </row>
    <row r="551" spans="1:5" x14ac:dyDescent="0.2">
      <c r="A551" s="53" t="s">
        <v>308</v>
      </c>
      <c r="B551" s="81">
        <f>SUM(B549:B550)</f>
        <v>9000</v>
      </c>
      <c r="C551" s="81">
        <f>SUM(C549:C550)</f>
        <v>9000</v>
      </c>
      <c r="D551" s="81">
        <f>B551-C551</f>
        <v>0</v>
      </c>
      <c r="E551" s="8">
        <f>(B551-C551)/C551</f>
        <v>0</v>
      </c>
    </row>
    <row r="552" spans="1:5" x14ac:dyDescent="0.2">
      <c r="A552" s="56"/>
      <c r="B552" s="82"/>
      <c r="C552" s="82"/>
      <c r="D552" s="82"/>
      <c r="E552" s="9"/>
    </row>
    <row r="553" spans="1:5" x14ac:dyDescent="0.2">
      <c r="A553" s="53" t="s">
        <v>309</v>
      </c>
      <c r="B553" s="79"/>
      <c r="C553" s="79"/>
      <c r="D553" s="79"/>
      <c r="E553" s="7"/>
    </row>
    <row r="554" spans="1:5" ht="13.5" thickBot="1" x14ac:dyDescent="0.25">
      <c r="A554" s="55" t="s">
        <v>310</v>
      </c>
      <c r="B554" s="80">
        <v>1000</v>
      </c>
      <c r="C554" s="80">
        <v>1500</v>
      </c>
      <c r="D554" s="79">
        <f>B554-C554</f>
        <v>-500</v>
      </c>
      <c r="E554" s="7">
        <f>D554/C554</f>
        <v>-0.33333333333333331</v>
      </c>
    </row>
    <row r="555" spans="1:5" x14ac:dyDescent="0.2">
      <c r="A555" s="53" t="s">
        <v>311</v>
      </c>
      <c r="B555" s="81">
        <f>SUM(B554:B554)</f>
        <v>1000</v>
      </c>
      <c r="C555" s="81">
        <f>SUM(C554:C554)</f>
        <v>1500</v>
      </c>
      <c r="D555" s="81">
        <f>B555-C555</f>
        <v>-500</v>
      </c>
      <c r="E555" s="8">
        <f>(B555-C555)/C555</f>
        <v>-0.33333333333333331</v>
      </c>
    </row>
    <row r="556" spans="1:5" x14ac:dyDescent="0.2">
      <c r="A556" s="56"/>
      <c r="B556" s="82"/>
      <c r="C556" s="82"/>
      <c r="D556" s="82"/>
      <c r="E556" s="9"/>
    </row>
    <row r="557" spans="1:5" x14ac:dyDescent="0.2">
      <c r="A557" s="53" t="s">
        <v>312</v>
      </c>
      <c r="B557" s="79"/>
      <c r="C557" s="79"/>
      <c r="D557" s="79"/>
      <c r="E557" s="7"/>
    </row>
    <row r="558" spans="1:5" ht="13.5" thickBot="1" x14ac:dyDescent="0.25">
      <c r="A558" s="55" t="s">
        <v>313</v>
      </c>
      <c r="B558" s="80">
        <v>14500</v>
      </c>
      <c r="C558" s="80">
        <v>14500</v>
      </c>
      <c r="D558" s="79">
        <f>B558-C558</f>
        <v>0</v>
      </c>
      <c r="E558" s="7">
        <f>D558/C558</f>
        <v>0</v>
      </c>
    </row>
    <row r="559" spans="1:5" x14ac:dyDescent="0.2">
      <c r="A559" s="53" t="s">
        <v>314</v>
      </c>
      <c r="B559" s="81">
        <f>SUM(B558)</f>
        <v>14500</v>
      </c>
      <c r="C559" s="81">
        <f>SUM(C558)</f>
        <v>14500</v>
      </c>
      <c r="D559" s="81">
        <f>B559-C559</f>
        <v>0</v>
      </c>
      <c r="E559" s="8">
        <f>(B559-C559)/C559</f>
        <v>0</v>
      </c>
    </row>
    <row r="560" spans="1:5" x14ac:dyDescent="0.2">
      <c r="A560" s="56"/>
      <c r="B560" s="82"/>
      <c r="C560" s="82"/>
      <c r="D560" s="82"/>
      <c r="E560" s="9"/>
    </row>
    <row r="561" spans="1:5" x14ac:dyDescent="0.2">
      <c r="A561" s="53" t="s">
        <v>315</v>
      </c>
      <c r="B561" s="79"/>
      <c r="C561" s="79"/>
      <c r="D561" s="79"/>
      <c r="E561" s="7"/>
    </row>
    <row r="562" spans="1:5" ht="13.5" thickBot="1" x14ac:dyDescent="0.25">
      <c r="A562" s="55" t="s">
        <v>316</v>
      </c>
      <c r="B562" s="80">
        <v>9200</v>
      </c>
      <c r="C562" s="80">
        <v>9200</v>
      </c>
      <c r="D562" s="79">
        <f>B562-C562</f>
        <v>0</v>
      </c>
      <c r="E562" s="7">
        <f>D562/C562</f>
        <v>0</v>
      </c>
    </row>
    <row r="563" spans="1:5" x14ac:dyDescent="0.2">
      <c r="A563" s="53" t="s">
        <v>317</v>
      </c>
      <c r="B563" s="81">
        <f>SUM(B562)</f>
        <v>9200</v>
      </c>
      <c r="C563" s="81">
        <f>SUM(C562)</f>
        <v>9200</v>
      </c>
      <c r="D563" s="81">
        <f>B563-C563</f>
        <v>0</v>
      </c>
      <c r="E563" s="8">
        <f>(B563-C563)/C563</f>
        <v>0</v>
      </c>
    </row>
    <row r="564" spans="1:5" x14ac:dyDescent="0.2">
      <c r="A564" s="56"/>
      <c r="B564" s="82"/>
      <c r="C564" s="82"/>
      <c r="D564" s="82"/>
      <c r="E564" s="9"/>
    </row>
    <row r="565" spans="1:5" x14ac:dyDescent="0.2">
      <c r="A565" s="53" t="s">
        <v>590</v>
      </c>
      <c r="B565" s="79"/>
      <c r="C565" s="79"/>
      <c r="D565" s="79"/>
      <c r="E565" s="7"/>
    </row>
    <row r="566" spans="1:5" x14ac:dyDescent="0.2">
      <c r="A566" s="54" t="s">
        <v>318</v>
      </c>
      <c r="B566" s="80">
        <f t="shared" ref="B566:C572" si="45">39429+9200</f>
        <v>48629</v>
      </c>
      <c r="C566" s="80">
        <f t="shared" si="45"/>
        <v>48629</v>
      </c>
      <c r="D566" s="79">
        <f t="shared" ref="D566:D575" si="46">B566-C566</f>
        <v>0</v>
      </c>
      <c r="E566" s="7">
        <f t="shared" ref="E566:E574" si="47">D566/C566</f>
        <v>0</v>
      </c>
    </row>
    <row r="567" spans="1:5" x14ac:dyDescent="0.2">
      <c r="A567" s="54" t="s">
        <v>319</v>
      </c>
      <c r="B567" s="80">
        <f t="shared" si="45"/>
        <v>48629</v>
      </c>
      <c r="C567" s="80">
        <f t="shared" si="45"/>
        <v>48629</v>
      </c>
      <c r="D567" s="79">
        <f t="shared" si="46"/>
        <v>0</v>
      </c>
      <c r="E567" s="7">
        <f t="shared" si="47"/>
        <v>0</v>
      </c>
    </row>
    <row r="568" spans="1:5" x14ac:dyDescent="0.2">
      <c r="A568" s="54" t="s">
        <v>320</v>
      </c>
      <c r="B568" s="80">
        <f t="shared" si="45"/>
        <v>48629</v>
      </c>
      <c r="C568" s="80">
        <f t="shared" si="45"/>
        <v>48629</v>
      </c>
      <c r="D568" s="79">
        <f t="shared" si="46"/>
        <v>0</v>
      </c>
      <c r="E568" s="7">
        <f t="shared" si="47"/>
        <v>0</v>
      </c>
    </row>
    <row r="569" spans="1:5" x14ac:dyDescent="0.2">
      <c r="A569" s="54" t="s">
        <v>321</v>
      </c>
      <c r="B569" s="80">
        <f t="shared" si="45"/>
        <v>48629</v>
      </c>
      <c r="C569" s="80">
        <f t="shared" si="45"/>
        <v>48629</v>
      </c>
      <c r="D569" s="79">
        <f t="shared" si="46"/>
        <v>0</v>
      </c>
      <c r="E569" s="7">
        <f t="shared" si="47"/>
        <v>0</v>
      </c>
    </row>
    <row r="570" spans="1:5" x14ac:dyDescent="0.2">
      <c r="A570" s="54" t="s">
        <v>322</v>
      </c>
      <c r="B570" s="80">
        <f t="shared" si="45"/>
        <v>48629</v>
      </c>
      <c r="C570" s="80">
        <f t="shared" si="45"/>
        <v>48629</v>
      </c>
      <c r="D570" s="79">
        <f t="shared" si="46"/>
        <v>0</v>
      </c>
      <c r="E570" s="7">
        <f t="shared" si="47"/>
        <v>0</v>
      </c>
    </row>
    <row r="571" spans="1:5" x14ac:dyDescent="0.2">
      <c r="A571" s="54" t="s">
        <v>323</v>
      </c>
      <c r="B571" s="80">
        <f t="shared" si="45"/>
        <v>48629</v>
      </c>
      <c r="C571" s="80">
        <f t="shared" si="45"/>
        <v>48629</v>
      </c>
      <c r="D571" s="79">
        <f t="shared" si="46"/>
        <v>0</v>
      </c>
      <c r="E571" s="7">
        <f t="shared" si="47"/>
        <v>0</v>
      </c>
    </row>
    <row r="572" spans="1:5" x14ac:dyDescent="0.2">
      <c r="A572" s="54" t="s">
        <v>324</v>
      </c>
      <c r="B572" s="80">
        <f t="shared" si="45"/>
        <v>48629</v>
      </c>
      <c r="C572" s="80">
        <f t="shared" si="45"/>
        <v>48629</v>
      </c>
      <c r="D572" s="79">
        <f t="shared" si="46"/>
        <v>0</v>
      </c>
      <c r="E572" s="7">
        <f t="shared" si="47"/>
        <v>0</v>
      </c>
    </row>
    <row r="573" spans="1:5" x14ac:dyDescent="0.2">
      <c r="A573" s="54" t="s">
        <v>325</v>
      </c>
      <c r="B573" s="80">
        <v>75000</v>
      </c>
      <c r="C573" s="80">
        <v>68402</v>
      </c>
      <c r="D573" s="79">
        <f t="shared" si="46"/>
        <v>6598</v>
      </c>
      <c r="E573" s="7">
        <f t="shared" si="47"/>
        <v>9.6459167860588876E-2</v>
      </c>
    </row>
    <row r="574" spans="1:5" ht="13.5" thickBot="1" x14ac:dyDescent="0.25">
      <c r="A574" s="55" t="s">
        <v>326</v>
      </c>
      <c r="B574" s="80">
        <v>1600</v>
      </c>
      <c r="C574" s="80">
        <v>1600</v>
      </c>
      <c r="D574" s="79">
        <f t="shared" si="46"/>
        <v>0</v>
      </c>
      <c r="E574" s="7">
        <f t="shared" si="47"/>
        <v>0</v>
      </c>
    </row>
    <row r="575" spans="1:5" x14ac:dyDescent="0.2">
      <c r="A575" s="53" t="s">
        <v>591</v>
      </c>
      <c r="B575" s="81">
        <f>SUM(B566:B574)</f>
        <v>417003</v>
      </c>
      <c r="C575" s="81">
        <f>SUM(C566:C574)</f>
        <v>410405</v>
      </c>
      <c r="D575" s="81">
        <f t="shared" si="46"/>
        <v>6598</v>
      </c>
      <c r="E575" s="8">
        <f>(B575-C575)/C575</f>
        <v>1.6076802183209268E-2</v>
      </c>
    </row>
    <row r="576" spans="1:5" x14ac:dyDescent="0.2">
      <c r="A576" s="56"/>
      <c r="B576" s="82"/>
      <c r="C576" s="82"/>
      <c r="D576" s="82"/>
      <c r="E576" s="9"/>
    </row>
    <row r="577" spans="1:5" x14ac:dyDescent="0.2">
      <c r="A577" s="53" t="s">
        <v>327</v>
      </c>
      <c r="B577" s="79"/>
      <c r="C577" s="79"/>
      <c r="D577" s="79"/>
      <c r="E577" s="7"/>
    </row>
    <row r="578" spans="1:5" x14ac:dyDescent="0.2">
      <c r="A578" s="54" t="s">
        <v>328</v>
      </c>
      <c r="B578" s="80">
        <v>12500</v>
      </c>
      <c r="C578" s="80">
        <v>12500</v>
      </c>
      <c r="D578" s="79">
        <f t="shared" ref="D578:D585" si="48">B578-C578</f>
        <v>0</v>
      </c>
      <c r="E578" s="7">
        <f t="shared" ref="E578:E584" si="49">D578/C578</f>
        <v>0</v>
      </c>
    </row>
    <row r="579" spans="1:5" x14ac:dyDescent="0.2">
      <c r="A579" s="54" t="s">
        <v>329</v>
      </c>
      <c r="B579" s="80">
        <v>12500</v>
      </c>
      <c r="C579" s="80">
        <v>12500</v>
      </c>
      <c r="D579" s="79">
        <f t="shared" si="48"/>
        <v>0</v>
      </c>
      <c r="E579" s="7">
        <f t="shared" si="49"/>
        <v>0</v>
      </c>
    </row>
    <row r="580" spans="1:5" x14ac:dyDescent="0.2">
      <c r="A580" s="54" t="s">
        <v>330</v>
      </c>
      <c r="B580" s="80">
        <v>12500</v>
      </c>
      <c r="C580" s="80">
        <v>12500</v>
      </c>
      <c r="D580" s="79">
        <f t="shared" si="48"/>
        <v>0</v>
      </c>
      <c r="E580" s="7">
        <f t="shared" si="49"/>
        <v>0</v>
      </c>
    </row>
    <row r="581" spans="1:5" x14ac:dyDescent="0.2">
      <c r="A581" s="54" t="s">
        <v>331</v>
      </c>
      <c r="B581" s="80">
        <v>12500</v>
      </c>
      <c r="C581" s="80">
        <v>12500</v>
      </c>
      <c r="D581" s="79">
        <f t="shared" si="48"/>
        <v>0</v>
      </c>
      <c r="E581" s="7">
        <f t="shared" si="49"/>
        <v>0</v>
      </c>
    </row>
    <row r="582" spans="1:5" x14ac:dyDescent="0.2">
      <c r="A582" s="54" t="s">
        <v>332</v>
      </c>
      <c r="B582" s="80">
        <v>12500</v>
      </c>
      <c r="C582" s="80">
        <v>12500</v>
      </c>
      <c r="D582" s="79">
        <f t="shared" si="48"/>
        <v>0</v>
      </c>
      <c r="E582" s="7">
        <f t="shared" si="49"/>
        <v>0</v>
      </c>
    </row>
    <row r="583" spans="1:5" x14ac:dyDescent="0.2">
      <c r="A583" s="54" t="s">
        <v>333</v>
      </c>
      <c r="B583" s="80">
        <v>12500</v>
      </c>
      <c r="C583" s="80">
        <v>12500</v>
      </c>
      <c r="D583" s="79">
        <f t="shared" si="48"/>
        <v>0</v>
      </c>
      <c r="E583" s="7">
        <f t="shared" si="49"/>
        <v>0</v>
      </c>
    </row>
    <row r="584" spans="1:5" ht="13.5" thickBot="1" x14ac:dyDescent="0.25">
      <c r="A584" s="55" t="s">
        <v>334</v>
      </c>
      <c r="B584" s="80">
        <v>12500</v>
      </c>
      <c r="C584" s="80">
        <v>12500</v>
      </c>
      <c r="D584" s="79">
        <f t="shared" si="48"/>
        <v>0</v>
      </c>
      <c r="E584" s="7">
        <f t="shared" si="49"/>
        <v>0</v>
      </c>
    </row>
    <row r="585" spans="1:5" x14ac:dyDescent="0.2">
      <c r="A585" s="53" t="s">
        <v>335</v>
      </c>
      <c r="B585" s="81">
        <f>SUM(B578:B584)</f>
        <v>87500</v>
      </c>
      <c r="C585" s="81">
        <f>SUM(C578:C584)</f>
        <v>87500</v>
      </c>
      <c r="D585" s="81">
        <f t="shared" si="48"/>
        <v>0</v>
      </c>
      <c r="E585" s="8">
        <f>(B585-C585)/C585</f>
        <v>0</v>
      </c>
    </row>
    <row r="586" spans="1:5" ht="13.5" thickBot="1" x14ac:dyDescent="0.25">
      <c r="A586" s="57"/>
      <c r="B586" s="82"/>
      <c r="C586" s="82"/>
      <c r="D586" s="82"/>
      <c r="E586" s="9"/>
    </row>
    <row r="587" spans="1:5" ht="13.5" thickBot="1" x14ac:dyDescent="0.25">
      <c r="A587" s="58" t="s">
        <v>538</v>
      </c>
      <c r="B587" s="83">
        <f>SUM(B585,B575,B563,B559,B555,B551,B547)</f>
        <v>544253</v>
      </c>
      <c r="C587" s="83">
        <f>SUM(C585,C575,C563,C559,C555,C551,C547)</f>
        <v>538355</v>
      </c>
      <c r="D587" s="83">
        <f>B587-C587</f>
        <v>5898</v>
      </c>
      <c r="E587" s="10">
        <f>(B587-C587)/C587</f>
        <v>1.0955596214393848E-2</v>
      </c>
    </row>
    <row r="588" spans="1:5" ht="13.5" thickBot="1" x14ac:dyDescent="0.25">
      <c r="A588" s="58"/>
      <c r="B588" s="85"/>
      <c r="C588" s="85"/>
      <c r="D588" s="85"/>
      <c r="E588" s="13"/>
    </row>
    <row r="589" spans="1:5" ht="13.5" thickBot="1" x14ac:dyDescent="0.25">
      <c r="A589" s="58" t="s">
        <v>623</v>
      </c>
      <c r="B589" s="85">
        <f>SUM(B587,B537,B514,B495)</f>
        <v>634913</v>
      </c>
      <c r="C589" s="85">
        <f>SUM(C587,C537,C514,C495)</f>
        <v>658760</v>
      </c>
      <c r="D589" s="83">
        <f>B589-C589</f>
        <v>-23847</v>
      </c>
      <c r="E589" s="10">
        <f>(B589-C589)/C589</f>
        <v>-3.6199829983605561E-2</v>
      </c>
    </row>
    <row r="590" spans="1:5" ht="13.5" thickBot="1" x14ac:dyDescent="0.25">
      <c r="A590" s="59"/>
      <c r="B590" s="84"/>
      <c r="C590" s="84"/>
      <c r="D590" s="84"/>
      <c r="E590" s="11"/>
    </row>
    <row r="591" spans="1:5" x14ac:dyDescent="0.2">
      <c r="A591" s="52" t="s">
        <v>497</v>
      </c>
      <c r="B591" s="79"/>
      <c r="C591" s="79"/>
      <c r="D591" s="79"/>
      <c r="E591" s="7"/>
    </row>
    <row r="592" spans="1:5" x14ac:dyDescent="0.2">
      <c r="A592" s="54" t="s">
        <v>336</v>
      </c>
      <c r="B592" s="80">
        <v>3000</v>
      </c>
      <c r="C592" s="80">
        <v>3000</v>
      </c>
      <c r="D592" s="79">
        <f t="shared" ref="D592:D597" si="50">B592-C592</f>
        <v>0</v>
      </c>
      <c r="E592" s="7">
        <f>D592/C592</f>
        <v>0</v>
      </c>
    </row>
    <row r="593" spans="1:5" x14ac:dyDescent="0.2">
      <c r="A593" s="54" t="s">
        <v>337</v>
      </c>
      <c r="B593" s="80">
        <v>1000</v>
      </c>
      <c r="C593" s="80">
        <v>1000</v>
      </c>
      <c r="D593" s="79">
        <f t="shared" si="50"/>
        <v>0</v>
      </c>
      <c r="E593" s="7">
        <f>D593/C593</f>
        <v>0</v>
      </c>
    </row>
    <row r="594" spans="1:5" x14ac:dyDescent="0.2">
      <c r="A594" s="54" t="s">
        <v>338</v>
      </c>
      <c r="B594" s="80">
        <v>1000</v>
      </c>
      <c r="C594" s="80">
        <v>1000</v>
      </c>
      <c r="D594" s="79">
        <f t="shared" si="50"/>
        <v>0</v>
      </c>
      <c r="E594" s="7">
        <f>D594/C594</f>
        <v>0</v>
      </c>
    </row>
    <row r="595" spans="1:5" x14ac:dyDescent="0.2">
      <c r="A595" s="54" t="s">
        <v>339</v>
      </c>
      <c r="B595" s="80">
        <v>35000</v>
      </c>
      <c r="C595" s="80">
        <v>35000</v>
      </c>
      <c r="D595" s="79">
        <f t="shared" si="50"/>
        <v>0</v>
      </c>
      <c r="E595" s="7">
        <f>D595/C595</f>
        <v>0</v>
      </c>
    </row>
    <row r="596" spans="1:5" ht="13.5" thickBot="1" x14ac:dyDescent="0.25">
      <c r="A596" s="55" t="s">
        <v>709</v>
      </c>
      <c r="B596" s="80">
        <v>8400</v>
      </c>
      <c r="C596" s="80">
        <v>0</v>
      </c>
      <c r="D596" s="79">
        <f t="shared" si="50"/>
        <v>8400</v>
      </c>
      <c r="E596" s="7" t="e">
        <f>D596/C596</f>
        <v>#DIV/0!</v>
      </c>
    </row>
    <row r="597" spans="1:5" ht="13.5" thickBot="1" x14ac:dyDescent="0.25">
      <c r="A597" s="58" t="s">
        <v>539</v>
      </c>
      <c r="B597" s="83">
        <f>SUM(B592:B596)</f>
        <v>48400</v>
      </c>
      <c r="C597" s="83">
        <f>SUM(C592:C596)</f>
        <v>40000</v>
      </c>
      <c r="D597" s="83">
        <f t="shared" si="50"/>
        <v>8400</v>
      </c>
      <c r="E597" s="10">
        <f>(B597-C597)/C597</f>
        <v>0.21</v>
      </c>
    </row>
    <row r="598" spans="1:5" ht="13.5" thickBot="1" x14ac:dyDescent="0.25">
      <c r="A598" s="58"/>
      <c r="B598" s="83"/>
      <c r="C598" s="83"/>
      <c r="D598" s="83"/>
      <c r="E598" s="10"/>
    </row>
    <row r="599" spans="1:5" x14ac:dyDescent="0.2">
      <c r="A599" s="52" t="s">
        <v>498</v>
      </c>
      <c r="B599" s="79"/>
      <c r="C599" s="79"/>
      <c r="D599" s="79"/>
      <c r="E599" s="7"/>
    </row>
    <row r="600" spans="1:5" x14ac:dyDescent="0.2">
      <c r="A600" s="53" t="s">
        <v>340</v>
      </c>
      <c r="B600" s="79"/>
      <c r="C600" s="79"/>
      <c r="D600" s="79"/>
      <c r="E600" s="7"/>
    </row>
    <row r="601" spans="1:5" x14ac:dyDescent="0.2">
      <c r="A601" s="54" t="s">
        <v>341</v>
      </c>
      <c r="B601" s="80">
        <v>1000</v>
      </c>
      <c r="C601" s="80">
        <v>1000</v>
      </c>
      <c r="D601" s="79">
        <f>B601-C601</f>
        <v>0</v>
      </c>
      <c r="E601" s="7">
        <f>D601/C601</f>
        <v>0</v>
      </c>
    </row>
    <row r="602" spans="1:5" ht="13.5" thickBot="1" x14ac:dyDescent="0.25">
      <c r="A602" s="55" t="s">
        <v>342</v>
      </c>
      <c r="B602" s="80">
        <v>10000</v>
      </c>
      <c r="C602" s="80">
        <v>10000</v>
      </c>
      <c r="D602" s="79">
        <f>B602-C602</f>
        <v>0</v>
      </c>
      <c r="E602" s="7">
        <f>D602/C602</f>
        <v>0</v>
      </c>
    </row>
    <row r="603" spans="1:5" x14ac:dyDescent="0.2">
      <c r="A603" s="53" t="s">
        <v>343</v>
      </c>
      <c r="B603" s="81">
        <f>SUM(B601:B602)</f>
        <v>11000</v>
      </c>
      <c r="C603" s="81">
        <f>SUM(C601:C602)</f>
        <v>11000</v>
      </c>
      <c r="D603" s="81">
        <f>B603-C603</f>
        <v>0</v>
      </c>
      <c r="E603" s="8">
        <f>(B603-C603)/C603</f>
        <v>0</v>
      </c>
    </row>
    <row r="604" spans="1:5" x14ac:dyDescent="0.2">
      <c r="A604" s="56"/>
      <c r="B604" s="82"/>
      <c r="C604" s="82"/>
      <c r="D604" s="82"/>
      <c r="E604" s="9"/>
    </row>
    <row r="605" spans="1:5" x14ac:dyDescent="0.2">
      <c r="A605" s="53" t="s">
        <v>344</v>
      </c>
      <c r="B605" s="79"/>
      <c r="C605" s="79"/>
      <c r="D605" s="79"/>
      <c r="E605" s="7"/>
    </row>
    <row r="606" spans="1:5" ht="13.5" thickBot="1" x14ac:dyDescent="0.25">
      <c r="A606" s="55" t="s">
        <v>477</v>
      </c>
      <c r="B606" s="80">
        <v>1000</v>
      </c>
      <c r="C606" s="80">
        <v>1000</v>
      </c>
      <c r="D606" s="79">
        <f>B606-C606</f>
        <v>0</v>
      </c>
      <c r="E606" s="7">
        <f>D606/C606</f>
        <v>0</v>
      </c>
    </row>
    <row r="607" spans="1:5" x14ac:dyDescent="0.2">
      <c r="A607" s="53" t="s">
        <v>345</v>
      </c>
      <c r="B607" s="81">
        <f>SUM(B606)</f>
        <v>1000</v>
      </c>
      <c r="C607" s="81">
        <f>SUM(C606)</f>
        <v>1000</v>
      </c>
      <c r="D607" s="81">
        <f>B607-C607</f>
        <v>0</v>
      </c>
      <c r="E607" s="8">
        <f>(B607-C607)/C607</f>
        <v>0</v>
      </c>
    </row>
    <row r="608" spans="1:5" x14ac:dyDescent="0.2">
      <c r="A608" s="56"/>
      <c r="B608" s="82"/>
      <c r="C608" s="82"/>
      <c r="D608" s="82"/>
      <c r="E608" s="9"/>
    </row>
    <row r="609" spans="1:5" x14ac:dyDescent="0.2">
      <c r="A609" s="53" t="s">
        <v>346</v>
      </c>
      <c r="B609" s="79"/>
      <c r="C609" s="79"/>
      <c r="D609" s="79"/>
      <c r="E609" s="7"/>
    </row>
    <row r="610" spans="1:5" x14ac:dyDescent="0.2">
      <c r="A610" s="54" t="s">
        <v>347</v>
      </c>
      <c r="B610" s="80">
        <v>1785</v>
      </c>
      <c r="C610" s="80">
        <v>1785</v>
      </c>
      <c r="D610" s="79">
        <f>B610-C610</f>
        <v>0</v>
      </c>
      <c r="E610" s="7">
        <f>D610/C610</f>
        <v>0</v>
      </c>
    </row>
    <row r="611" spans="1:5" x14ac:dyDescent="0.2">
      <c r="A611" s="54" t="s">
        <v>348</v>
      </c>
      <c r="B611" s="80">
        <v>1260</v>
      </c>
      <c r="C611" s="80">
        <v>1260</v>
      </c>
      <c r="D611" s="79">
        <f>B611-C611</f>
        <v>0</v>
      </c>
      <c r="E611" s="7">
        <f>D611/C611</f>
        <v>0</v>
      </c>
    </row>
    <row r="612" spans="1:5" x14ac:dyDescent="0.2">
      <c r="A612" s="54" t="s">
        <v>349</v>
      </c>
      <c r="B612" s="80">
        <v>13650</v>
      </c>
      <c r="C612" s="80">
        <v>13650</v>
      </c>
      <c r="D612" s="79">
        <f>B612-C612</f>
        <v>0</v>
      </c>
      <c r="E612" s="7">
        <f>D612/C612</f>
        <v>0</v>
      </c>
    </row>
    <row r="613" spans="1:5" ht="13.5" thickBot="1" x14ac:dyDescent="0.25">
      <c r="A613" s="55" t="s">
        <v>350</v>
      </c>
      <c r="B613" s="80">
        <v>1365</v>
      </c>
      <c r="C613" s="80">
        <v>1365</v>
      </c>
      <c r="D613" s="79">
        <f>B613-C613</f>
        <v>0</v>
      </c>
      <c r="E613" s="7">
        <f>D613/C613</f>
        <v>0</v>
      </c>
    </row>
    <row r="614" spans="1:5" x14ac:dyDescent="0.2">
      <c r="A614" s="53" t="s">
        <v>351</v>
      </c>
      <c r="B614" s="81">
        <f>SUM(B610:B613)</f>
        <v>18060</v>
      </c>
      <c r="C614" s="81">
        <f>SUM(C610:C613)</f>
        <v>18060</v>
      </c>
      <c r="D614" s="81">
        <f>B614-C614</f>
        <v>0</v>
      </c>
      <c r="E614" s="8">
        <f>(B614-C614)/C614</f>
        <v>0</v>
      </c>
    </row>
    <row r="615" spans="1:5" ht="13.5" thickBot="1" x14ac:dyDescent="0.25">
      <c r="A615" s="57"/>
      <c r="B615" s="82"/>
      <c r="C615" s="82"/>
      <c r="D615" s="82"/>
      <c r="E615" s="9"/>
    </row>
    <row r="616" spans="1:5" ht="13.5" thickBot="1" x14ac:dyDescent="0.25">
      <c r="A616" s="58" t="s">
        <v>540</v>
      </c>
      <c r="B616" s="83">
        <f>SUM(B614,B607,B603)</f>
        <v>30060</v>
      </c>
      <c r="C616" s="83">
        <f>SUM(C614,C607,C603)</f>
        <v>30060</v>
      </c>
      <c r="D616" s="83">
        <f>B616-C616</f>
        <v>0</v>
      </c>
      <c r="E616" s="10">
        <f>(B616-C616)/C616</f>
        <v>0</v>
      </c>
    </row>
    <row r="617" spans="1:5" ht="13.5" thickBot="1" x14ac:dyDescent="0.25">
      <c r="A617" s="58"/>
      <c r="B617" s="83"/>
      <c r="C617" s="83"/>
      <c r="D617" s="83"/>
      <c r="E617" s="10"/>
    </row>
    <row r="618" spans="1:5" x14ac:dyDescent="0.2">
      <c r="A618" s="52" t="s">
        <v>499</v>
      </c>
      <c r="B618" s="79"/>
      <c r="C618" s="79"/>
      <c r="D618" s="79"/>
      <c r="E618" s="7"/>
    </row>
    <row r="619" spans="1:5" x14ac:dyDescent="0.2">
      <c r="A619" s="54" t="s">
        <v>125</v>
      </c>
      <c r="B619" s="80">
        <v>1000</v>
      </c>
      <c r="C619" s="80">
        <v>1000</v>
      </c>
      <c r="D619" s="79">
        <f>B619-C619</f>
        <v>0</v>
      </c>
      <c r="E619" s="7">
        <f>D619/C619</f>
        <v>0</v>
      </c>
    </row>
    <row r="620" spans="1:5" x14ac:dyDescent="0.2">
      <c r="A620" s="54" t="s">
        <v>352</v>
      </c>
      <c r="B620" s="80">
        <v>1000</v>
      </c>
      <c r="C620" s="80">
        <v>1000</v>
      </c>
      <c r="D620" s="79">
        <f>B620-C620</f>
        <v>0</v>
      </c>
      <c r="E620" s="7">
        <f>D620/C620</f>
        <v>0</v>
      </c>
    </row>
    <row r="621" spans="1:5" ht="13.5" thickBot="1" x14ac:dyDescent="0.25">
      <c r="A621" s="55" t="s">
        <v>353</v>
      </c>
      <c r="B621" s="80">
        <v>300</v>
      </c>
      <c r="C621" s="80">
        <v>300</v>
      </c>
      <c r="D621" s="79">
        <f>B621-C621</f>
        <v>0</v>
      </c>
      <c r="E621" s="7">
        <f>D621/C621</f>
        <v>0</v>
      </c>
    </row>
    <row r="622" spans="1:5" ht="13.5" thickBot="1" x14ac:dyDescent="0.25">
      <c r="A622" s="58" t="s">
        <v>541</v>
      </c>
      <c r="B622" s="83">
        <f>SUM(B619:B621)</f>
        <v>2300</v>
      </c>
      <c r="C622" s="83">
        <f>SUM(C619:C621)</f>
        <v>2300</v>
      </c>
      <c r="D622" s="83">
        <f>B622-C622</f>
        <v>0</v>
      </c>
      <c r="E622" s="10">
        <f>(B622-C622)/C622</f>
        <v>0</v>
      </c>
    </row>
    <row r="623" spans="1:5" ht="13.5" thickBot="1" x14ac:dyDescent="0.25">
      <c r="A623" s="58"/>
      <c r="B623" s="83"/>
      <c r="C623" s="83"/>
      <c r="D623" s="83"/>
      <c r="E623" s="10"/>
    </row>
    <row r="624" spans="1:5" x14ac:dyDescent="0.2">
      <c r="A624" s="52" t="s">
        <v>500</v>
      </c>
      <c r="B624" s="79"/>
      <c r="C624" s="79"/>
      <c r="D624" s="79"/>
      <c r="E624" s="7"/>
    </row>
    <row r="625" spans="1:5" x14ac:dyDescent="0.2">
      <c r="A625" s="53" t="s">
        <v>0</v>
      </c>
      <c r="B625" s="79"/>
      <c r="C625" s="79"/>
      <c r="D625" s="79"/>
      <c r="E625" s="7"/>
    </row>
    <row r="626" spans="1:5" x14ac:dyDescent="0.2">
      <c r="A626" s="54" t="s">
        <v>354</v>
      </c>
      <c r="B626" s="80">
        <v>4000</v>
      </c>
      <c r="C626" s="80">
        <v>4000</v>
      </c>
      <c r="D626" s="79">
        <f t="shared" ref="D626:D634" si="51">B626-C626</f>
        <v>0</v>
      </c>
      <c r="E626" s="7">
        <f t="shared" ref="E626:E633" si="52">D626/C626</f>
        <v>0</v>
      </c>
    </row>
    <row r="627" spans="1:5" x14ac:dyDescent="0.2">
      <c r="A627" s="54" t="s">
        <v>355</v>
      </c>
      <c r="B627" s="80">
        <v>2500</v>
      </c>
      <c r="C627" s="80">
        <v>2500</v>
      </c>
      <c r="D627" s="79">
        <f t="shared" si="51"/>
        <v>0</v>
      </c>
      <c r="E627" s="7">
        <f t="shared" si="52"/>
        <v>0</v>
      </c>
    </row>
    <row r="628" spans="1:5" x14ac:dyDescent="0.2">
      <c r="A628" s="54" t="s">
        <v>356</v>
      </c>
      <c r="B628" s="80">
        <v>1000</v>
      </c>
      <c r="C628" s="80">
        <v>1000</v>
      </c>
      <c r="D628" s="79">
        <f t="shared" si="51"/>
        <v>0</v>
      </c>
      <c r="E628" s="7">
        <f t="shared" si="52"/>
        <v>0</v>
      </c>
    </row>
    <row r="629" spans="1:5" x14ac:dyDescent="0.2">
      <c r="A629" s="54" t="s">
        <v>357</v>
      </c>
      <c r="B629" s="80">
        <v>5000</v>
      </c>
      <c r="C629" s="80">
        <v>5000</v>
      </c>
      <c r="D629" s="79">
        <f t="shared" si="51"/>
        <v>0</v>
      </c>
      <c r="E629" s="7">
        <f t="shared" si="52"/>
        <v>0</v>
      </c>
    </row>
    <row r="630" spans="1:5" x14ac:dyDescent="0.2">
      <c r="A630" s="54" t="s">
        <v>358</v>
      </c>
      <c r="B630" s="80">
        <v>2000</v>
      </c>
      <c r="C630" s="80">
        <v>2000</v>
      </c>
      <c r="D630" s="79">
        <f t="shared" si="51"/>
        <v>0</v>
      </c>
      <c r="E630" s="7">
        <f t="shared" si="52"/>
        <v>0</v>
      </c>
    </row>
    <row r="631" spans="1:5" x14ac:dyDescent="0.2">
      <c r="A631" s="54" t="s">
        <v>359</v>
      </c>
      <c r="B631" s="80">
        <v>500</v>
      </c>
      <c r="C631" s="80">
        <v>500</v>
      </c>
      <c r="D631" s="79">
        <f t="shared" si="51"/>
        <v>0</v>
      </c>
      <c r="E631" s="7">
        <f t="shared" si="52"/>
        <v>0</v>
      </c>
    </row>
    <row r="632" spans="1:5" x14ac:dyDescent="0.2">
      <c r="A632" s="54" t="s">
        <v>360</v>
      </c>
      <c r="B632" s="80">
        <v>20000</v>
      </c>
      <c r="C632" s="80">
        <v>20000</v>
      </c>
      <c r="D632" s="79">
        <f t="shared" si="51"/>
        <v>0</v>
      </c>
      <c r="E632" s="7">
        <f t="shared" si="52"/>
        <v>0</v>
      </c>
    </row>
    <row r="633" spans="1:5" ht="13.5" thickBot="1" x14ac:dyDescent="0.25">
      <c r="A633" s="55" t="s">
        <v>361</v>
      </c>
      <c r="B633" s="80">
        <v>800</v>
      </c>
      <c r="C633" s="80">
        <v>800</v>
      </c>
      <c r="D633" s="79">
        <f t="shared" si="51"/>
        <v>0</v>
      </c>
      <c r="E633" s="7">
        <f t="shared" si="52"/>
        <v>0</v>
      </c>
    </row>
    <row r="634" spans="1:5" ht="13.5" thickBot="1" x14ac:dyDescent="0.25">
      <c r="A634" s="58" t="s">
        <v>542</v>
      </c>
      <c r="B634" s="83">
        <f>SUM(B626:B633)</f>
        <v>35800</v>
      </c>
      <c r="C634" s="83">
        <f>SUM(C626:C633)</f>
        <v>35800</v>
      </c>
      <c r="D634" s="83">
        <f t="shared" si="51"/>
        <v>0</v>
      </c>
      <c r="E634" s="10">
        <f>(B634-C634)/C634</f>
        <v>0</v>
      </c>
    </row>
    <row r="635" spans="1:5" ht="13.5" thickBot="1" x14ac:dyDescent="0.25">
      <c r="A635" s="59"/>
      <c r="B635" s="88"/>
      <c r="C635" s="88"/>
      <c r="D635" s="88"/>
      <c r="E635" s="12"/>
    </row>
    <row r="636" spans="1:5" x14ac:dyDescent="0.2">
      <c r="A636" s="52" t="s">
        <v>501</v>
      </c>
      <c r="B636" s="79"/>
      <c r="C636" s="79"/>
      <c r="D636" s="79"/>
      <c r="E636" s="7"/>
    </row>
    <row r="637" spans="1:5" x14ac:dyDescent="0.2">
      <c r="A637" s="53" t="s">
        <v>0</v>
      </c>
      <c r="B637" s="79"/>
      <c r="C637" s="79"/>
      <c r="D637" s="79"/>
      <c r="E637" s="7"/>
    </row>
    <row r="638" spans="1:5" x14ac:dyDescent="0.2">
      <c r="A638" s="54" t="s">
        <v>125</v>
      </c>
      <c r="B638" s="80">
        <v>1000</v>
      </c>
      <c r="C638" s="80">
        <v>1000</v>
      </c>
      <c r="D638" s="79">
        <f>B638-C638</f>
        <v>0</v>
      </c>
      <c r="E638" s="7">
        <f>D638/C638</f>
        <v>0</v>
      </c>
    </row>
    <row r="639" spans="1:5" x14ac:dyDescent="0.2">
      <c r="A639" s="54" t="s">
        <v>362</v>
      </c>
      <c r="B639" s="80">
        <v>2000</v>
      </c>
      <c r="C639" s="80">
        <v>2000</v>
      </c>
      <c r="D639" s="79">
        <f>B639-C639</f>
        <v>0</v>
      </c>
      <c r="E639" s="7">
        <f>D639/C639</f>
        <v>0</v>
      </c>
    </row>
    <row r="640" spans="1:5" x14ac:dyDescent="0.2">
      <c r="A640" s="54" t="s">
        <v>363</v>
      </c>
      <c r="B640" s="80">
        <v>1000</v>
      </c>
      <c r="C640" s="80">
        <v>1000</v>
      </c>
      <c r="D640" s="79">
        <f>B640-C640</f>
        <v>0</v>
      </c>
      <c r="E640" s="7">
        <f>D640/C640</f>
        <v>0</v>
      </c>
    </row>
    <row r="641" spans="1:5" ht="13.5" thickBot="1" x14ac:dyDescent="0.25">
      <c r="A641" s="55" t="s">
        <v>364</v>
      </c>
      <c r="B641" s="80">
        <v>1500</v>
      </c>
      <c r="C641" s="80">
        <v>1500</v>
      </c>
      <c r="D641" s="79">
        <f>B641-C641</f>
        <v>0</v>
      </c>
      <c r="E641" s="7">
        <f>D641/C641</f>
        <v>0</v>
      </c>
    </row>
    <row r="642" spans="1:5" ht="13.5" thickBot="1" x14ac:dyDescent="0.25">
      <c r="A642" s="58" t="s">
        <v>543</v>
      </c>
      <c r="B642" s="83">
        <f>SUM(B638:B641)</f>
        <v>5500</v>
      </c>
      <c r="C642" s="83">
        <f>SUM(C638:C641)</f>
        <v>5500</v>
      </c>
      <c r="D642" s="83">
        <f>B642-C642</f>
        <v>0</v>
      </c>
      <c r="E642" s="10">
        <f>(B642-C642)/C642</f>
        <v>0</v>
      </c>
    </row>
    <row r="643" spans="1:5" ht="13.5" thickBot="1" x14ac:dyDescent="0.25">
      <c r="A643" s="58"/>
      <c r="B643" s="83"/>
      <c r="C643" s="83"/>
      <c r="D643" s="83"/>
      <c r="E643" s="10"/>
    </row>
    <row r="644" spans="1:5" x14ac:dyDescent="0.2">
      <c r="A644" s="52" t="s">
        <v>502</v>
      </c>
      <c r="B644" s="79"/>
      <c r="C644" s="79"/>
      <c r="D644" s="79"/>
      <c r="E644" s="7"/>
    </row>
    <row r="645" spans="1:5" x14ac:dyDescent="0.2">
      <c r="A645" s="54" t="s">
        <v>125</v>
      </c>
      <c r="B645" s="80">
        <v>5000</v>
      </c>
      <c r="C645" s="80">
        <v>5000</v>
      </c>
      <c r="D645" s="79">
        <f>B645-C645</f>
        <v>0</v>
      </c>
      <c r="E645" s="7">
        <f>D645/C645</f>
        <v>0</v>
      </c>
    </row>
    <row r="646" spans="1:5" x14ac:dyDescent="0.2">
      <c r="A646" s="54" t="s">
        <v>365</v>
      </c>
      <c r="B646" s="80">
        <v>10000</v>
      </c>
      <c r="C646" s="80">
        <v>10000</v>
      </c>
      <c r="D646" s="79">
        <f>B646-C646</f>
        <v>0</v>
      </c>
      <c r="E646" s="7">
        <f>D646/C646</f>
        <v>0</v>
      </c>
    </row>
    <row r="647" spans="1:5" ht="13.5" thickBot="1" x14ac:dyDescent="0.25">
      <c r="A647" s="55" t="s">
        <v>366</v>
      </c>
      <c r="B647" s="80">
        <v>5000</v>
      </c>
      <c r="C647" s="80">
        <v>5000</v>
      </c>
      <c r="D647" s="79">
        <f>B647-C647</f>
        <v>0</v>
      </c>
      <c r="E647" s="7">
        <f>D647/C647</f>
        <v>0</v>
      </c>
    </row>
    <row r="648" spans="1:5" ht="13.5" thickBot="1" x14ac:dyDescent="0.25">
      <c r="A648" s="58" t="s">
        <v>544</v>
      </c>
      <c r="B648" s="83">
        <f>SUM(B645:B647)</f>
        <v>20000</v>
      </c>
      <c r="C648" s="83">
        <f>SUM(C645:C647)</f>
        <v>20000</v>
      </c>
      <c r="D648" s="83">
        <f>B648-C648</f>
        <v>0</v>
      </c>
      <c r="E648" s="10">
        <f>(B648-C648)/C648</f>
        <v>0</v>
      </c>
    </row>
    <row r="649" spans="1:5" ht="13.5" thickBot="1" x14ac:dyDescent="0.25">
      <c r="A649" s="58"/>
      <c r="B649" s="83"/>
      <c r="C649" s="83"/>
      <c r="D649" s="83"/>
      <c r="E649" s="10"/>
    </row>
    <row r="650" spans="1:5" x14ac:dyDescent="0.2">
      <c r="A650" s="52" t="s">
        <v>503</v>
      </c>
      <c r="B650" s="79"/>
      <c r="C650" s="79"/>
      <c r="D650" s="79"/>
      <c r="E650" s="7"/>
    </row>
    <row r="651" spans="1:5" x14ac:dyDescent="0.2">
      <c r="A651" s="53" t="s">
        <v>88</v>
      </c>
      <c r="B651" s="79"/>
      <c r="C651" s="79"/>
      <c r="D651" s="79"/>
      <c r="E651" s="7"/>
    </row>
    <row r="652" spans="1:5" x14ac:dyDescent="0.2">
      <c r="A652" s="54" t="s">
        <v>367</v>
      </c>
      <c r="B652" s="80">
        <v>300</v>
      </c>
      <c r="C652" s="80">
        <v>300</v>
      </c>
      <c r="D652" s="79">
        <f>B652-C652</f>
        <v>0</v>
      </c>
      <c r="E652" s="7">
        <f>D652/C652</f>
        <v>0</v>
      </c>
    </row>
    <row r="653" spans="1:5" x14ac:dyDescent="0.2">
      <c r="A653" s="54" t="s">
        <v>368</v>
      </c>
      <c r="B653" s="80">
        <v>4000</v>
      </c>
      <c r="C653" s="80">
        <v>4000</v>
      </c>
      <c r="D653" s="79">
        <f>B653-C653</f>
        <v>0</v>
      </c>
      <c r="E653" s="7">
        <f>D653/C653</f>
        <v>0</v>
      </c>
    </row>
    <row r="654" spans="1:5" ht="13.5" thickBot="1" x14ac:dyDescent="0.25">
      <c r="A654" s="55" t="s">
        <v>369</v>
      </c>
      <c r="B654" s="80">
        <v>1000</v>
      </c>
      <c r="C654" s="80">
        <v>1000</v>
      </c>
      <c r="D654" s="79">
        <f>B654-C654</f>
        <v>0</v>
      </c>
      <c r="E654" s="7">
        <f>D654/C654</f>
        <v>0</v>
      </c>
    </row>
    <row r="655" spans="1:5" x14ac:dyDescent="0.2">
      <c r="A655" s="53" t="s">
        <v>90</v>
      </c>
      <c r="B655" s="81">
        <f>SUM(B652:B654)</f>
        <v>5300</v>
      </c>
      <c r="C655" s="81">
        <f>SUM(C652:C654)</f>
        <v>5300</v>
      </c>
      <c r="D655" s="81">
        <f>B655-C655</f>
        <v>0</v>
      </c>
      <c r="E655" s="8">
        <f>(B655-C655)/C655</f>
        <v>0</v>
      </c>
    </row>
    <row r="656" spans="1:5" x14ac:dyDescent="0.2">
      <c r="A656" s="56"/>
      <c r="B656" s="82"/>
      <c r="C656" s="82"/>
      <c r="D656" s="82"/>
      <c r="E656" s="9"/>
    </row>
    <row r="657" spans="1:5" x14ac:dyDescent="0.2">
      <c r="A657" s="53" t="s">
        <v>370</v>
      </c>
      <c r="B657" s="79"/>
      <c r="C657" s="79"/>
      <c r="D657" s="79"/>
      <c r="E657" s="7"/>
    </row>
    <row r="658" spans="1:5" x14ac:dyDescent="0.2">
      <c r="A658" s="54" t="s">
        <v>371</v>
      </c>
      <c r="B658" s="80">
        <v>5000</v>
      </c>
      <c r="C658" s="80">
        <v>5000</v>
      </c>
      <c r="D658" s="79">
        <f>B658-C658</f>
        <v>0</v>
      </c>
      <c r="E658" s="7">
        <f>D658/C658</f>
        <v>0</v>
      </c>
    </row>
    <row r="659" spans="1:5" x14ac:dyDescent="0.2">
      <c r="A659" s="54" t="s">
        <v>627</v>
      </c>
      <c r="B659" s="80">
        <v>1000</v>
      </c>
      <c r="C659" s="80">
        <v>1000</v>
      </c>
      <c r="D659" s="80"/>
      <c r="E659" s="5"/>
    </row>
    <row r="660" spans="1:5" ht="13.5" thickBot="1" x14ac:dyDescent="0.25">
      <c r="A660" s="55" t="s">
        <v>372</v>
      </c>
      <c r="B660" s="80">
        <v>1000</v>
      </c>
      <c r="C660" s="80">
        <v>1000</v>
      </c>
      <c r="D660" s="79">
        <f>B660-C660</f>
        <v>0</v>
      </c>
      <c r="E660" s="7">
        <f>D660/C660</f>
        <v>0</v>
      </c>
    </row>
    <row r="661" spans="1:5" x14ac:dyDescent="0.2">
      <c r="A661" s="53" t="s">
        <v>373</v>
      </c>
      <c r="B661" s="81">
        <f>SUM(B658:B660)</f>
        <v>7000</v>
      </c>
      <c r="C661" s="81">
        <f>SUM(C658:C660)</f>
        <v>7000</v>
      </c>
      <c r="D661" s="81">
        <f>B661-C661</f>
        <v>0</v>
      </c>
      <c r="E661" s="8">
        <f>(B661-C661)/C661</f>
        <v>0</v>
      </c>
    </row>
    <row r="662" spans="1:5" x14ac:dyDescent="0.2">
      <c r="A662" s="56"/>
      <c r="B662" s="82"/>
      <c r="C662" s="82"/>
      <c r="D662" s="82"/>
      <c r="E662" s="9"/>
    </row>
    <row r="663" spans="1:5" x14ac:dyDescent="0.2">
      <c r="A663" s="53" t="s">
        <v>374</v>
      </c>
      <c r="B663" s="79"/>
      <c r="C663" s="79"/>
      <c r="D663" s="79"/>
      <c r="E663" s="7"/>
    </row>
    <row r="664" spans="1:5" x14ac:dyDescent="0.2">
      <c r="A664" s="54" t="s">
        <v>375</v>
      </c>
      <c r="B664" s="80">
        <v>4300</v>
      </c>
      <c r="C664" s="80">
        <v>4300</v>
      </c>
      <c r="D664" s="79">
        <f>B664-C664</f>
        <v>0</v>
      </c>
      <c r="E664" s="7">
        <f>D664/C664</f>
        <v>0</v>
      </c>
    </row>
    <row r="665" spans="1:5" x14ac:dyDescent="0.2">
      <c r="A665" s="54" t="s">
        <v>376</v>
      </c>
      <c r="B665" s="80">
        <v>1000</v>
      </c>
      <c r="C665" s="80">
        <v>1000</v>
      </c>
      <c r="D665" s="79">
        <f>B665-C665</f>
        <v>0</v>
      </c>
      <c r="E665" s="7">
        <f>D665/C665</f>
        <v>0</v>
      </c>
    </row>
    <row r="666" spans="1:5" ht="13.5" thickBot="1" x14ac:dyDescent="0.25">
      <c r="A666" s="55" t="s">
        <v>377</v>
      </c>
      <c r="B666" s="80">
        <v>5700</v>
      </c>
      <c r="C666" s="80">
        <v>5700</v>
      </c>
      <c r="D666" s="79">
        <f>B666-C666</f>
        <v>0</v>
      </c>
      <c r="E666" s="7">
        <f>D666/C666</f>
        <v>0</v>
      </c>
    </row>
    <row r="667" spans="1:5" x14ac:dyDescent="0.2">
      <c r="A667" s="53" t="s">
        <v>378</v>
      </c>
      <c r="B667" s="81">
        <f>SUM(B664:B666)</f>
        <v>11000</v>
      </c>
      <c r="C667" s="81">
        <f>SUM(C664:C666)</f>
        <v>11000</v>
      </c>
      <c r="D667" s="81">
        <f>B667-C667</f>
        <v>0</v>
      </c>
      <c r="E667" s="8">
        <f>(B667-C667)/C667</f>
        <v>0</v>
      </c>
    </row>
    <row r="668" spans="1:5" ht="13.5" thickBot="1" x14ac:dyDescent="0.25">
      <c r="A668" s="57"/>
      <c r="B668" s="85"/>
      <c r="C668" s="85"/>
      <c r="D668" s="85"/>
      <c r="E668" s="13"/>
    </row>
    <row r="669" spans="1:5" x14ac:dyDescent="0.2">
      <c r="A669" s="53" t="s">
        <v>557</v>
      </c>
      <c r="B669" s="82">
        <f>SUM(B667,B661,B655)</f>
        <v>23300</v>
      </c>
      <c r="C669" s="82">
        <f>SUM(C667,C661,C655)</f>
        <v>23300</v>
      </c>
      <c r="D669" s="82">
        <f>B669-C669</f>
        <v>0</v>
      </c>
      <c r="E669" s="9">
        <f>(B669-C669)/C669</f>
        <v>0</v>
      </c>
    </row>
    <row r="670" spans="1:5" x14ac:dyDescent="0.2">
      <c r="A670" s="53"/>
      <c r="B670" s="82"/>
      <c r="C670" s="82"/>
      <c r="D670" s="82"/>
      <c r="E670" s="9"/>
    </row>
    <row r="671" spans="1:5" ht="13.5" thickBot="1" x14ac:dyDescent="0.25">
      <c r="A671" s="58"/>
      <c r="B671" s="85"/>
      <c r="C671" s="85"/>
      <c r="D671" s="85"/>
      <c r="E671" s="13"/>
    </row>
    <row r="672" spans="1:5" ht="13.5" thickBot="1" x14ac:dyDescent="0.25">
      <c r="A672" s="65" t="s">
        <v>558</v>
      </c>
      <c r="B672" s="85">
        <f>SUM(B669,B648,B642,B634,B622,B616,B597,B587,B537,B514,B495,B490,B431,B421,B378,B365,B356,B301,B286,B282)</f>
        <v>3322598</v>
      </c>
      <c r="C672" s="85">
        <f>SUM(C669,C648,C642,C634,C622,C616,C597,C587,C537,C514,C495,C490,C431,C421,C378,C365,C356,C301,C286,C282)</f>
        <v>3464014</v>
      </c>
      <c r="D672" s="82">
        <f>B672-C672</f>
        <v>-141416</v>
      </c>
      <c r="E672" s="13">
        <f>(B672-C672)/C672</f>
        <v>-4.0824315375168806E-2</v>
      </c>
    </row>
    <row r="673" spans="1:5" ht="13.5" thickBot="1" x14ac:dyDescent="0.25">
      <c r="A673" s="66"/>
      <c r="B673" s="84"/>
      <c r="C673" s="84"/>
      <c r="D673" s="84"/>
      <c r="E673" s="11"/>
    </row>
    <row r="674" spans="1:5" ht="13.5" thickBot="1" x14ac:dyDescent="0.25">
      <c r="A674" s="65" t="s">
        <v>559</v>
      </c>
      <c r="B674" s="85"/>
      <c r="C674" s="85"/>
      <c r="D674" s="85"/>
      <c r="E674" s="13"/>
    </row>
    <row r="675" spans="1:5" x14ac:dyDescent="0.2">
      <c r="A675" s="52" t="s">
        <v>504</v>
      </c>
      <c r="B675" s="78"/>
      <c r="C675" s="78"/>
      <c r="D675" s="78"/>
      <c r="E675" s="3"/>
    </row>
    <row r="676" spans="1:5" ht="13.5" thickBot="1" x14ac:dyDescent="0.25">
      <c r="A676" s="55" t="s">
        <v>140</v>
      </c>
      <c r="B676" s="80">
        <v>19398</v>
      </c>
      <c r="C676" s="80">
        <v>19398</v>
      </c>
      <c r="D676" s="79">
        <f>B676-C676</f>
        <v>0</v>
      </c>
      <c r="E676" s="7">
        <f>D676/C676</f>
        <v>0</v>
      </c>
    </row>
    <row r="677" spans="1:5" ht="13.5" thickBot="1" x14ac:dyDescent="0.25">
      <c r="A677" s="58" t="s">
        <v>545</v>
      </c>
      <c r="B677" s="83">
        <f>SUM(B676:B676)</f>
        <v>19398</v>
      </c>
      <c r="C677" s="83">
        <f>SUM(C676:C676)</f>
        <v>19398</v>
      </c>
      <c r="D677" s="83">
        <f>B677-C677</f>
        <v>0</v>
      </c>
      <c r="E677" s="10">
        <f>(B677-C677)/C677</f>
        <v>0</v>
      </c>
    </row>
    <row r="678" spans="1:5" ht="13.5" thickBot="1" x14ac:dyDescent="0.25">
      <c r="A678" s="59"/>
      <c r="B678" s="84"/>
      <c r="C678" s="84"/>
      <c r="D678" s="84"/>
      <c r="E678" s="11"/>
    </row>
    <row r="679" spans="1:5" x14ac:dyDescent="0.2">
      <c r="A679" s="52" t="s">
        <v>505</v>
      </c>
      <c r="B679" s="79"/>
      <c r="C679" s="79"/>
      <c r="D679" s="79"/>
      <c r="E679" s="7"/>
    </row>
    <row r="680" spans="1:5" ht="13.5" thickBot="1" x14ac:dyDescent="0.25">
      <c r="A680" s="55" t="s">
        <v>140</v>
      </c>
      <c r="B680" s="80">
        <v>10000</v>
      </c>
      <c r="C680" s="80">
        <v>10000</v>
      </c>
      <c r="D680" s="79">
        <f>B680-C680</f>
        <v>0</v>
      </c>
      <c r="E680" s="7">
        <f>D680/C680</f>
        <v>0</v>
      </c>
    </row>
    <row r="681" spans="1:5" ht="13.5" thickBot="1" x14ac:dyDescent="0.25">
      <c r="A681" s="58" t="s">
        <v>556</v>
      </c>
      <c r="B681" s="83">
        <f>SUM(B680:B680)</f>
        <v>10000</v>
      </c>
      <c r="C681" s="83">
        <f>SUM(C680:C680)</f>
        <v>10000</v>
      </c>
      <c r="D681" s="83">
        <f>B681-C681</f>
        <v>0</v>
      </c>
      <c r="E681" s="10">
        <f>(B681-C681)/C681</f>
        <v>0</v>
      </c>
    </row>
    <row r="682" spans="1:5" ht="13.5" thickBot="1" x14ac:dyDescent="0.25">
      <c r="A682" s="59"/>
      <c r="B682" s="88"/>
      <c r="C682" s="88"/>
      <c r="D682" s="88"/>
      <c r="E682" s="12"/>
    </row>
    <row r="683" spans="1:5" x14ac:dyDescent="0.2">
      <c r="A683" s="52" t="s">
        <v>506</v>
      </c>
      <c r="B683" s="79"/>
      <c r="C683" s="79"/>
      <c r="D683" s="79"/>
      <c r="E683" s="7"/>
    </row>
    <row r="684" spans="1:5" ht="13.5" thickBot="1" x14ac:dyDescent="0.25">
      <c r="A684" s="55" t="s">
        <v>379</v>
      </c>
      <c r="B684" s="80">
        <v>11000</v>
      </c>
      <c r="C684" s="80">
        <v>11000</v>
      </c>
      <c r="D684" s="79">
        <f>B684-C684</f>
        <v>0</v>
      </c>
      <c r="E684" s="7">
        <f>D684/C684</f>
        <v>0</v>
      </c>
    </row>
    <row r="685" spans="1:5" ht="13.5" thickBot="1" x14ac:dyDescent="0.25">
      <c r="A685" s="58" t="s">
        <v>546</v>
      </c>
      <c r="B685" s="83">
        <f>SUM(B684:B684)</f>
        <v>11000</v>
      </c>
      <c r="C685" s="83">
        <f>SUM(C684:C684)</f>
        <v>11000</v>
      </c>
      <c r="D685" s="83">
        <f>SUM(D684:D684)</f>
        <v>0</v>
      </c>
      <c r="E685" s="10">
        <f>(B685-C685)/C685</f>
        <v>0</v>
      </c>
    </row>
    <row r="686" spans="1:5" ht="13.5" thickBot="1" x14ac:dyDescent="0.25">
      <c r="A686" s="59"/>
      <c r="B686" s="84"/>
      <c r="C686" s="84"/>
      <c r="D686" s="84"/>
      <c r="E686" s="11"/>
    </row>
    <row r="687" spans="1:5" x14ac:dyDescent="0.2">
      <c r="A687" s="52" t="s">
        <v>507</v>
      </c>
      <c r="B687" s="78"/>
      <c r="C687" s="78"/>
      <c r="D687" s="78"/>
      <c r="E687" s="3"/>
    </row>
    <row r="688" spans="1:5" x14ac:dyDescent="0.2">
      <c r="A688" s="53" t="s">
        <v>180</v>
      </c>
      <c r="B688" s="79"/>
      <c r="C688" s="79"/>
      <c r="D688" s="79"/>
      <c r="E688" s="7"/>
    </row>
    <row r="689" spans="1:5" x14ac:dyDescent="0.2">
      <c r="A689" s="54" t="s">
        <v>380</v>
      </c>
      <c r="B689" s="80">
        <v>200</v>
      </c>
      <c r="C689" s="80">
        <v>200</v>
      </c>
      <c r="D689" s="79">
        <f t="shared" ref="D689:D693" si="53">B689-C689</f>
        <v>0</v>
      </c>
      <c r="E689" s="7">
        <f t="shared" ref="E689:E693" si="54">D689/C689</f>
        <v>0</v>
      </c>
    </row>
    <row r="690" spans="1:5" x14ac:dyDescent="0.2">
      <c r="A690" s="54" t="s">
        <v>381</v>
      </c>
      <c r="B690" s="80">
        <v>1400</v>
      </c>
      <c r="C690" s="80">
        <v>1400</v>
      </c>
      <c r="D690" s="79">
        <f t="shared" si="53"/>
        <v>0</v>
      </c>
      <c r="E690" s="7">
        <f t="shared" si="54"/>
        <v>0</v>
      </c>
    </row>
    <row r="691" spans="1:5" x14ac:dyDescent="0.2">
      <c r="A691" s="54" t="s">
        <v>382</v>
      </c>
      <c r="B691" s="80">
        <v>400</v>
      </c>
      <c r="C691" s="80">
        <v>400</v>
      </c>
      <c r="D691" s="79">
        <f t="shared" si="53"/>
        <v>0</v>
      </c>
      <c r="E691" s="7">
        <f t="shared" si="54"/>
        <v>0</v>
      </c>
    </row>
    <row r="692" spans="1:5" x14ac:dyDescent="0.2">
      <c r="A692" s="54" t="s">
        <v>383</v>
      </c>
      <c r="B692" s="80">
        <v>800</v>
      </c>
      <c r="C692" s="80">
        <v>800</v>
      </c>
      <c r="D692" s="79">
        <f t="shared" si="53"/>
        <v>0</v>
      </c>
      <c r="E692" s="7">
        <f t="shared" si="54"/>
        <v>0</v>
      </c>
    </row>
    <row r="693" spans="1:5" ht="13.5" thickBot="1" x14ac:dyDescent="0.25">
      <c r="A693" s="55" t="s">
        <v>384</v>
      </c>
      <c r="B693" s="80">
        <v>500</v>
      </c>
      <c r="C693" s="80">
        <v>500</v>
      </c>
      <c r="D693" s="79">
        <f t="shared" si="53"/>
        <v>0</v>
      </c>
      <c r="E693" s="7">
        <f t="shared" si="54"/>
        <v>0</v>
      </c>
    </row>
    <row r="694" spans="1:5" ht="13.5" thickBot="1" x14ac:dyDescent="0.25">
      <c r="A694" s="58" t="s">
        <v>547</v>
      </c>
      <c r="B694" s="83">
        <f>SUM(B689:B693)</f>
        <v>3300</v>
      </c>
      <c r="C694" s="83">
        <f>SUM(C689:C693)</f>
        <v>3300</v>
      </c>
      <c r="D694" s="83">
        <f>B694-C694</f>
        <v>0</v>
      </c>
      <c r="E694" s="10">
        <f>(B694-C694)/C694</f>
        <v>0</v>
      </c>
    </row>
    <row r="695" spans="1:5" ht="13.5" thickBot="1" x14ac:dyDescent="0.25">
      <c r="A695" s="59"/>
      <c r="B695" s="84"/>
      <c r="C695" s="84"/>
      <c r="D695" s="84"/>
      <c r="E695" s="11"/>
    </row>
    <row r="696" spans="1:5" x14ac:dyDescent="0.2">
      <c r="A696" s="52" t="s">
        <v>508</v>
      </c>
      <c r="B696" s="79"/>
      <c r="C696" s="79"/>
      <c r="D696" s="79"/>
      <c r="E696" s="7"/>
    </row>
    <row r="697" spans="1:5" x14ac:dyDescent="0.2">
      <c r="A697" s="53" t="s">
        <v>88</v>
      </c>
      <c r="B697" s="79"/>
      <c r="C697" s="79"/>
      <c r="D697" s="79"/>
      <c r="E697" s="7"/>
    </row>
    <row r="698" spans="1:5" x14ac:dyDescent="0.2">
      <c r="A698" s="54" t="s">
        <v>385</v>
      </c>
      <c r="B698" s="80">
        <v>25000</v>
      </c>
      <c r="C698" s="80">
        <v>25000</v>
      </c>
      <c r="D698" s="79">
        <f t="shared" ref="D698:D705" si="55">B698-C698</f>
        <v>0</v>
      </c>
      <c r="E698" s="7">
        <f t="shared" ref="E698:E704" si="56">D698/C698</f>
        <v>0</v>
      </c>
    </row>
    <row r="699" spans="1:5" x14ac:dyDescent="0.2">
      <c r="A699" s="54" t="s">
        <v>386</v>
      </c>
      <c r="B699" s="80">
        <v>7000</v>
      </c>
      <c r="C699" s="80">
        <v>7000</v>
      </c>
      <c r="D699" s="79">
        <f t="shared" si="55"/>
        <v>0</v>
      </c>
      <c r="E699" s="7">
        <f t="shared" si="56"/>
        <v>0</v>
      </c>
    </row>
    <row r="700" spans="1:5" x14ac:dyDescent="0.2">
      <c r="A700" s="54" t="s">
        <v>387</v>
      </c>
      <c r="B700" s="80">
        <v>30000</v>
      </c>
      <c r="C700" s="80">
        <v>25000</v>
      </c>
      <c r="D700" s="79">
        <f t="shared" si="55"/>
        <v>5000</v>
      </c>
      <c r="E700" s="7">
        <f t="shared" si="56"/>
        <v>0.2</v>
      </c>
    </row>
    <row r="701" spans="1:5" x14ac:dyDescent="0.2">
      <c r="A701" s="54" t="s">
        <v>388</v>
      </c>
      <c r="B701" s="80">
        <v>5000</v>
      </c>
      <c r="C701" s="80">
        <v>5000</v>
      </c>
      <c r="D701" s="79">
        <f t="shared" si="55"/>
        <v>0</v>
      </c>
      <c r="E701" s="7">
        <f t="shared" si="56"/>
        <v>0</v>
      </c>
    </row>
    <row r="702" spans="1:5" x14ac:dyDescent="0.2">
      <c r="A702" s="54" t="s">
        <v>389</v>
      </c>
      <c r="B702" s="80">
        <v>12000</v>
      </c>
      <c r="C702" s="80">
        <v>10000</v>
      </c>
      <c r="D702" s="79">
        <f t="shared" si="55"/>
        <v>2000</v>
      </c>
      <c r="E702" s="7">
        <f t="shared" si="56"/>
        <v>0.2</v>
      </c>
    </row>
    <row r="703" spans="1:5" x14ac:dyDescent="0.2">
      <c r="A703" s="54" t="s">
        <v>390</v>
      </c>
      <c r="B703" s="80">
        <v>4000</v>
      </c>
      <c r="C703" s="80">
        <v>4000</v>
      </c>
      <c r="D703" s="79">
        <f t="shared" si="55"/>
        <v>0</v>
      </c>
      <c r="E703" s="7">
        <f t="shared" si="56"/>
        <v>0</v>
      </c>
    </row>
    <row r="704" spans="1:5" ht="13.5" thickBot="1" x14ac:dyDescent="0.25">
      <c r="A704" s="55" t="s">
        <v>391</v>
      </c>
      <c r="B704" s="80">
        <v>1000</v>
      </c>
      <c r="C704" s="80">
        <v>1000</v>
      </c>
      <c r="D704" s="79">
        <f t="shared" si="55"/>
        <v>0</v>
      </c>
      <c r="E704" s="7">
        <f t="shared" si="56"/>
        <v>0</v>
      </c>
    </row>
    <row r="705" spans="1:5" x14ac:dyDescent="0.2">
      <c r="A705" s="53" t="s">
        <v>90</v>
      </c>
      <c r="B705" s="81">
        <f>SUM(B698:B704)</f>
        <v>84000</v>
      </c>
      <c r="C705" s="81">
        <f>SUM(C698:C704)</f>
        <v>77000</v>
      </c>
      <c r="D705" s="81">
        <f t="shared" si="55"/>
        <v>7000</v>
      </c>
      <c r="E705" s="8">
        <f>(B705-C705)/C705</f>
        <v>9.0909090909090912E-2</v>
      </c>
    </row>
    <row r="706" spans="1:5" x14ac:dyDescent="0.2">
      <c r="A706" s="56"/>
      <c r="B706" s="82"/>
      <c r="C706" s="82"/>
      <c r="D706" s="82"/>
      <c r="E706" s="9"/>
    </row>
    <row r="707" spans="1:5" x14ac:dyDescent="0.2">
      <c r="A707" s="53" t="s">
        <v>392</v>
      </c>
      <c r="B707" s="79"/>
      <c r="C707" s="79"/>
      <c r="D707" s="79"/>
      <c r="E707" s="7"/>
    </row>
    <row r="708" spans="1:5" ht="13.5" thickBot="1" x14ac:dyDescent="0.25">
      <c r="A708" s="55" t="s">
        <v>612</v>
      </c>
      <c r="B708" s="80">
        <v>1500</v>
      </c>
      <c r="C708" s="80">
        <v>1500</v>
      </c>
      <c r="D708" s="79">
        <f>B708-C708</f>
        <v>0</v>
      </c>
      <c r="E708" s="7">
        <f>D708/C708</f>
        <v>0</v>
      </c>
    </row>
    <row r="709" spans="1:5" x14ac:dyDescent="0.2">
      <c r="A709" s="53" t="s">
        <v>393</v>
      </c>
      <c r="B709" s="81">
        <f>SUM(B708)</f>
        <v>1500</v>
      </c>
      <c r="C709" s="81">
        <f>SUM(C708)</f>
        <v>1500</v>
      </c>
      <c r="D709" s="81">
        <f>B709-C709</f>
        <v>0</v>
      </c>
      <c r="E709" s="8">
        <f>(B709-C709)/C709</f>
        <v>0</v>
      </c>
    </row>
    <row r="710" spans="1:5" x14ac:dyDescent="0.2">
      <c r="A710" s="56"/>
      <c r="B710" s="82"/>
      <c r="C710" s="82"/>
      <c r="D710" s="82"/>
      <c r="E710" s="9"/>
    </row>
    <row r="711" spans="1:5" x14ac:dyDescent="0.2">
      <c r="A711" s="53" t="s">
        <v>394</v>
      </c>
      <c r="B711" s="79"/>
      <c r="C711" s="79"/>
      <c r="D711" s="79"/>
      <c r="E711" s="7"/>
    </row>
    <row r="712" spans="1:5" x14ac:dyDescent="0.2">
      <c r="A712" s="54" t="s">
        <v>395</v>
      </c>
      <c r="B712" s="80">
        <v>1500</v>
      </c>
      <c r="C712" s="80">
        <v>1500</v>
      </c>
      <c r="D712" s="79">
        <f t="shared" ref="D712:D719" si="57">B712-C712</f>
        <v>0</v>
      </c>
      <c r="E712" s="7">
        <f t="shared" ref="E712:E718" si="58">D712/C712</f>
        <v>0</v>
      </c>
    </row>
    <row r="713" spans="1:5" x14ac:dyDescent="0.2">
      <c r="A713" s="54" t="s">
        <v>396</v>
      </c>
      <c r="B713" s="80">
        <v>800</v>
      </c>
      <c r="C713" s="80">
        <v>800</v>
      </c>
      <c r="D713" s="79">
        <f t="shared" si="57"/>
        <v>0</v>
      </c>
      <c r="E713" s="7">
        <f t="shared" si="58"/>
        <v>0</v>
      </c>
    </row>
    <row r="714" spans="1:5" x14ac:dyDescent="0.2">
      <c r="A714" s="54" t="s">
        <v>397</v>
      </c>
      <c r="B714" s="80">
        <v>28000</v>
      </c>
      <c r="C714" s="80">
        <v>25000</v>
      </c>
      <c r="D714" s="79">
        <f t="shared" si="57"/>
        <v>3000</v>
      </c>
      <c r="E714" s="7">
        <f t="shared" si="58"/>
        <v>0.12</v>
      </c>
    </row>
    <row r="715" spans="1:5" x14ac:dyDescent="0.2">
      <c r="A715" s="54" t="s">
        <v>398</v>
      </c>
      <c r="B715" s="80">
        <v>1500</v>
      </c>
      <c r="C715" s="80">
        <v>1500</v>
      </c>
      <c r="D715" s="79">
        <f t="shared" si="57"/>
        <v>0</v>
      </c>
      <c r="E715" s="7">
        <f t="shared" si="58"/>
        <v>0</v>
      </c>
    </row>
    <row r="716" spans="1:5" x14ac:dyDescent="0.2">
      <c r="A716" s="54" t="s">
        <v>399</v>
      </c>
      <c r="B716" s="80">
        <v>500</v>
      </c>
      <c r="C716" s="80">
        <v>500</v>
      </c>
      <c r="D716" s="79">
        <f t="shared" si="57"/>
        <v>0</v>
      </c>
      <c r="E716" s="7">
        <f t="shared" si="58"/>
        <v>0</v>
      </c>
    </row>
    <row r="717" spans="1:5" x14ac:dyDescent="0.2">
      <c r="A717" s="54" t="s">
        <v>400</v>
      </c>
      <c r="B717" s="80">
        <v>900</v>
      </c>
      <c r="C717" s="80">
        <v>900</v>
      </c>
      <c r="D717" s="79">
        <f t="shared" si="57"/>
        <v>0</v>
      </c>
      <c r="E717" s="7">
        <f t="shared" si="58"/>
        <v>0</v>
      </c>
    </row>
    <row r="718" spans="1:5" ht="13.5" thickBot="1" x14ac:dyDescent="0.25">
      <c r="A718" s="55" t="s">
        <v>401</v>
      </c>
      <c r="B718" s="80">
        <v>18000</v>
      </c>
      <c r="C718" s="80">
        <v>15000</v>
      </c>
      <c r="D718" s="79">
        <f t="shared" si="57"/>
        <v>3000</v>
      </c>
      <c r="E718" s="7">
        <f t="shared" si="58"/>
        <v>0.2</v>
      </c>
    </row>
    <row r="719" spans="1:5" x14ac:dyDescent="0.2">
      <c r="A719" s="53" t="s">
        <v>402</v>
      </c>
      <c r="B719" s="81">
        <f>SUM(B712:B718)</f>
        <v>51200</v>
      </c>
      <c r="C719" s="81">
        <f>SUM(C712:C718)</f>
        <v>45200</v>
      </c>
      <c r="D719" s="81">
        <f t="shared" si="57"/>
        <v>6000</v>
      </c>
      <c r="E719" s="8">
        <f>(B719-C719)/C719</f>
        <v>0.13274336283185842</v>
      </c>
    </row>
    <row r="720" spans="1:5" x14ac:dyDescent="0.2">
      <c r="A720" s="56"/>
      <c r="B720" s="82"/>
      <c r="C720" s="82"/>
      <c r="D720" s="82"/>
      <c r="E720" s="9"/>
    </row>
    <row r="721" spans="1:5" x14ac:dyDescent="0.2">
      <c r="A721" s="53" t="s">
        <v>403</v>
      </c>
      <c r="B721" s="79"/>
      <c r="C721" s="79"/>
      <c r="D721" s="79"/>
      <c r="E721" s="7"/>
    </row>
    <row r="722" spans="1:5" x14ac:dyDescent="0.2">
      <c r="A722" s="54" t="s">
        <v>404</v>
      </c>
      <c r="B722" s="80">
        <v>105510</v>
      </c>
      <c r="C722" s="80">
        <v>103442</v>
      </c>
      <c r="D722" s="79">
        <f t="shared" ref="D722:D727" si="59">B722-C722</f>
        <v>2068</v>
      </c>
      <c r="E722" s="7">
        <f t="shared" ref="E722:E727" si="60">D722/C722</f>
        <v>1.9991879507356779E-2</v>
      </c>
    </row>
    <row r="723" spans="1:5" x14ac:dyDescent="0.2">
      <c r="A723" s="54" t="s">
        <v>405</v>
      </c>
      <c r="B723" s="80">
        <v>191000</v>
      </c>
      <c r="C723" s="80">
        <v>190000</v>
      </c>
      <c r="D723" s="79">
        <f t="shared" si="59"/>
        <v>1000</v>
      </c>
      <c r="E723" s="7">
        <f t="shared" si="60"/>
        <v>5.263157894736842E-3</v>
      </c>
    </row>
    <row r="724" spans="1:5" x14ac:dyDescent="0.2">
      <c r="A724" s="54" t="s">
        <v>406</v>
      </c>
      <c r="B724" s="80">
        <v>15000</v>
      </c>
      <c r="C724" s="80">
        <v>15000</v>
      </c>
      <c r="D724" s="79">
        <f t="shared" si="59"/>
        <v>0</v>
      </c>
      <c r="E724" s="7">
        <f t="shared" si="60"/>
        <v>0</v>
      </c>
    </row>
    <row r="725" spans="1:5" x14ac:dyDescent="0.2">
      <c r="A725" s="54" t="s">
        <v>407</v>
      </c>
      <c r="B725" s="80">
        <v>51900</v>
      </c>
      <c r="C725" s="80">
        <v>50379</v>
      </c>
      <c r="D725" s="79">
        <f t="shared" si="59"/>
        <v>1521</v>
      </c>
      <c r="E725" s="7">
        <f t="shared" si="60"/>
        <v>3.0191151074852617E-2</v>
      </c>
    </row>
    <row r="726" spans="1:5" x14ac:dyDescent="0.2">
      <c r="A726" s="54" t="s">
        <v>408</v>
      </c>
      <c r="B726" s="80">
        <v>1000</v>
      </c>
      <c r="C726" s="80">
        <v>1000</v>
      </c>
      <c r="D726" s="79">
        <f t="shared" si="59"/>
        <v>0</v>
      </c>
      <c r="E726" s="7">
        <f t="shared" si="60"/>
        <v>0</v>
      </c>
    </row>
    <row r="727" spans="1:5" x14ac:dyDescent="0.2">
      <c r="A727" s="54" t="s">
        <v>687</v>
      </c>
      <c r="B727" s="80">
        <v>200</v>
      </c>
      <c r="C727" s="80"/>
      <c r="D727" s="79">
        <f t="shared" si="59"/>
        <v>200</v>
      </c>
      <c r="E727" s="7" t="e">
        <f t="shared" si="60"/>
        <v>#DIV/0!</v>
      </c>
    </row>
    <row r="728" spans="1:5" x14ac:dyDescent="0.2">
      <c r="A728" s="54" t="s">
        <v>409</v>
      </c>
      <c r="B728" s="80">
        <v>17800</v>
      </c>
      <c r="C728" s="80">
        <v>17800</v>
      </c>
      <c r="D728" s="79">
        <f t="shared" ref="D728:D734" si="61">B728-C728</f>
        <v>0</v>
      </c>
      <c r="E728" s="7">
        <f t="shared" ref="E728:E733" si="62">D728/C728</f>
        <v>0</v>
      </c>
    </row>
    <row r="729" spans="1:5" x14ac:dyDescent="0.2">
      <c r="A729" s="54" t="s">
        <v>410</v>
      </c>
      <c r="B729" s="80">
        <v>27000</v>
      </c>
      <c r="C729" s="80">
        <v>27000</v>
      </c>
      <c r="D729" s="79">
        <f t="shared" si="61"/>
        <v>0</v>
      </c>
      <c r="E729" s="7">
        <f t="shared" si="62"/>
        <v>0</v>
      </c>
    </row>
    <row r="730" spans="1:5" x14ac:dyDescent="0.2">
      <c r="A730" s="54" t="s">
        <v>411</v>
      </c>
      <c r="B730" s="80">
        <v>35000</v>
      </c>
      <c r="C730" s="80">
        <v>32000</v>
      </c>
      <c r="D730" s="79">
        <f t="shared" si="61"/>
        <v>3000</v>
      </c>
      <c r="E730" s="7">
        <f t="shared" si="62"/>
        <v>9.375E-2</v>
      </c>
    </row>
    <row r="731" spans="1:5" x14ac:dyDescent="0.2">
      <c r="A731" s="54" t="s">
        <v>412</v>
      </c>
      <c r="B731" s="80">
        <f>ROUND((SUM(B722:B730)*0.22),0)</f>
        <v>97770</v>
      </c>
      <c r="C731" s="80">
        <v>75000</v>
      </c>
      <c r="D731" s="79">
        <f t="shared" si="61"/>
        <v>22770</v>
      </c>
      <c r="E731" s="7">
        <f t="shared" si="62"/>
        <v>0.30359999999999998</v>
      </c>
    </row>
    <row r="732" spans="1:5" x14ac:dyDescent="0.2">
      <c r="A732" s="54" t="s">
        <v>413</v>
      </c>
      <c r="B732" s="80">
        <v>2400</v>
      </c>
      <c r="C732" s="80">
        <v>2400</v>
      </c>
      <c r="D732" s="79">
        <f t="shared" si="61"/>
        <v>0</v>
      </c>
      <c r="E732" s="7">
        <f t="shared" si="62"/>
        <v>0</v>
      </c>
    </row>
    <row r="733" spans="1:5" s="61" customFormat="1" ht="13.5" thickBot="1" x14ac:dyDescent="0.25">
      <c r="A733" s="62" t="s">
        <v>579</v>
      </c>
      <c r="B733" s="95">
        <v>-39000</v>
      </c>
      <c r="C733" s="95">
        <f>-39000*1.09</f>
        <v>-42510</v>
      </c>
      <c r="D733" s="95">
        <f t="shared" si="61"/>
        <v>3510</v>
      </c>
      <c r="E733" s="7">
        <f t="shared" si="62"/>
        <v>-8.2568807339449546E-2</v>
      </c>
    </row>
    <row r="734" spans="1:5" x14ac:dyDescent="0.2">
      <c r="A734" s="53" t="s">
        <v>414</v>
      </c>
      <c r="B734" s="81">
        <f>SUM(B722:B733)</f>
        <v>505580</v>
      </c>
      <c r="C734" s="81">
        <f>SUM(C722:C733)</f>
        <v>471511</v>
      </c>
      <c r="D734" s="81">
        <f t="shared" si="61"/>
        <v>34069</v>
      </c>
      <c r="E734" s="8">
        <f>(B734-C734)/C734</f>
        <v>7.2254942090428431E-2</v>
      </c>
    </row>
    <row r="735" spans="1:5" x14ac:dyDescent="0.2">
      <c r="A735" s="56"/>
      <c r="B735" s="82"/>
      <c r="C735" s="82"/>
      <c r="D735" s="82"/>
      <c r="E735" s="9"/>
    </row>
    <row r="736" spans="1:5" x14ac:dyDescent="0.2">
      <c r="A736" s="53" t="s">
        <v>180</v>
      </c>
      <c r="B736" s="79"/>
      <c r="C736" s="79"/>
      <c r="D736" s="79"/>
      <c r="E736" s="7"/>
    </row>
    <row r="737" spans="1:5" x14ac:dyDescent="0.2">
      <c r="A737" s="54" t="s">
        <v>415</v>
      </c>
      <c r="B737" s="80">
        <v>8000</v>
      </c>
      <c r="C737" s="80">
        <v>8000</v>
      </c>
      <c r="D737" s="79">
        <f>B737-C737</f>
        <v>0</v>
      </c>
      <c r="E737" s="7">
        <f>D737/C737</f>
        <v>0</v>
      </c>
    </row>
    <row r="738" spans="1:5" x14ac:dyDescent="0.2">
      <c r="A738" s="54" t="s">
        <v>416</v>
      </c>
      <c r="B738" s="80">
        <v>500</v>
      </c>
      <c r="C738" s="80">
        <v>500</v>
      </c>
      <c r="D738" s="79">
        <f>B738-C738</f>
        <v>0</v>
      </c>
      <c r="E738" s="7">
        <f>D738/C738</f>
        <v>0</v>
      </c>
    </row>
    <row r="739" spans="1:5" ht="13.5" thickBot="1" x14ac:dyDescent="0.25">
      <c r="A739" s="55" t="s">
        <v>417</v>
      </c>
      <c r="B739" s="80">
        <v>5000</v>
      </c>
      <c r="C739" s="80">
        <v>5000</v>
      </c>
      <c r="D739" s="79">
        <f>B739-C739</f>
        <v>0</v>
      </c>
      <c r="E739" s="7">
        <f>D739/C739</f>
        <v>0</v>
      </c>
    </row>
    <row r="740" spans="1:5" x14ac:dyDescent="0.2">
      <c r="A740" s="53" t="s">
        <v>182</v>
      </c>
      <c r="B740" s="81">
        <f>SUM(B737:B739)</f>
        <v>13500</v>
      </c>
      <c r="C740" s="81">
        <f>SUM(C737:C739)</f>
        <v>13500</v>
      </c>
      <c r="D740" s="81">
        <f>B740-C740</f>
        <v>0</v>
      </c>
      <c r="E740" s="8">
        <f>(B740-C740)/C740</f>
        <v>0</v>
      </c>
    </row>
    <row r="741" spans="1:5" x14ac:dyDescent="0.2">
      <c r="A741" s="56"/>
      <c r="B741" s="82"/>
      <c r="C741" s="82"/>
      <c r="D741" s="82"/>
      <c r="E741" s="9"/>
    </row>
    <row r="742" spans="1:5" x14ac:dyDescent="0.2">
      <c r="A742" s="53" t="s">
        <v>418</v>
      </c>
      <c r="B742" s="79"/>
      <c r="C742" s="79"/>
      <c r="D742" s="79"/>
      <c r="E742" s="7"/>
    </row>
    <row r="743" spans="1:5" ht="13.5" thickBot="1" x14ac:dyDescent="0.25">
      <c r="A743" s="55" t="s">
        <v>419</v>
      </c>
      <c r="B743" s="80">
        <v>1500</v>
      </c>
      <c r="C743" s="80">
        <v>1500</v>
      </c>
      <c r="D743" s="79">
        <f>B743-C743</f>
        <v>0</v>
      </c>
      <c r="E743" s="7">
        <f>D743/C743</f>
        <v>0</v>
      </c>
    </row>
    <row r="744" spans="1:5" x14ac:dyDescent="0.2">
      <c r="A744" s="53" t="s">
        <v>420</v>
      </c>
      <c r="B744" s="81">
        <f>SUM(B743)</f>
        <v>1500</v>
      </c>
      <c r="C744" s="81">
        <f>SUM(C743)</f>
        <v>1500</v>
      </c>
      <c r="D744" s="81">
        <f>B744-C744</f>
        <v>0</v>
      </c>
      <c r="E744" s="8">
        <f>(B744-C744)/C744</f>
        <v>0</v>
      </c>
    </row>
    <row r="745" spans="1:5" x14ac:dyDescent="0.2">
      <c r="A745" s="56"/>
      <c r="B745" s="82"/>
      <c r="C745" s="82"/>
      <c r="D745" s="82"/>
      <c r="E745" s="9"/>
    </row>
    <row r="746" spans="1:5" x14ac:dyDescent="0.2">
      <c r="A746" s="53" t="s">
        <v>421</v>
      </c>
      <c r="B746" s="79"/>
      <c r="C746" s="79"/>
      <c r="D746" s="79"/>
      <c r="E746" s="7"/>
    </row>
    <row r="747" spans="1:5" ht="13.5" thickBot="1" x14ac:dyDescent="0.25">
      <c r="A747" s="55" t="s">
        <v>475</v>
      </c>
      <c r="B747" s="80">
        <v>2000</v>
      </c>
      <c r="C747" s="80"/>
      <c r="D747" s="79">
        <f>B747-C747</f>
        <v>2000</v>
      </c>
      <c r="E747" s="7" t="e">
        <f>D747/C747</f>
        <v>#DIV/0!</v>
      </c>
    </row>
    <row r="748" spans="1:5" x14ac:dyDescent="0.2">
      <c r="A748" s="53" t="s">
        <v>422</v>
      </c>
      <c r="B748" s="81">
        <f>SUM(B747:B747)</f>
        <v>2000</v>
      </c>
      <c r="C748" s="81">
        <f>SUM(C747:C747)</f>
        <v>0</v>
      </c>
      <c r="D748" s="81">
        <f>B748-C748</f>
        <v>2000</v>
      </c>
      <c r="E748" s="8" t="e">
        <f>(B748-C748)/C748</f>
        <v>#DIV/0!</v>
      </c>
    </row>
    <row r="749" spans="1:5" ht="13.5" thickBot="1" x14ac:dyDescent="0.25">
      <c r="A749" s="58"/>
      <c r="B749" s="82"/>
      <c r="C749" s="82"/>
      <c r="D749" s="82"/>
      <c r="E749" s="9"/>
    </row>
    <row r="750" spans="1:5" ht="13.5" thickBot="1" x14ac:dyDescent="0.25">
      <c r="A750" s="58" t="s">
        <v>548</v>
      </c>
      <c r="B750" s="83">
        <f>SUM(B748,B744,B740,B734,B719,B709,B705)</f>
        <v>659280</v>
      </c>
      <c r="C750" s="83">
        <f>SUM(C748,C744,C740,C734,C719,C709,C705)</f>
        <v>610211</v>
      </c>
      <c r="D750" s="83">
        <f>B750-C750</f>
        <v>49069</v>
      </c>
      <c r="E750" s="10">
        <f>(B750-C750)/C750</f>
        <v>8.0413168559727702E-2</v>
      </c>
    </row>
    <row r="751" spans="1:5" ht="13.5" thickBot="1" x14ac:dyDescent="0.25">
      <c r="A751" s="59"/>
      <c r="B751" s="84"/>
      <c r="C751" s="84"/>
      <c r="D751" s="84"/>
      <c r="E751" s="11"/>
    </row>
    <row r="752" spans="1:5" x14ac:dyDescent="0.2">
      <c r="A752" s="52" t="s">
        <v>509</v>
      </c>
      <c r="B752" s="78"/>
      <c r="C752" s="78"/>
      <c r="D752" s="78"/>
      <c r="E752" s="3"/>
    </row>
    <row r="753" spans="1:5" x14ac:dyDescent="0.2">
      <c r="A753" s="53" t="s">
        <v>124</v>
      </c>
      <c r="B753" s="82"/>
      <c r="C753" s="82"/>
      <c r="D753" s="82"/>
      <c r="E753" s="9"/>
    </row>
    <row r="754" spans="1:5" x14ac:dyDescent="0.2">
      <c r="A754" s="54" t="s">
        <v>98</v>
      </c>
      <c r="B754" s="80">
        <v>4000</v>
      </c>
      <c r="C754" s="80">
        <v>1500</v>
      </c>
      <c r="D754" s="79">
        <f t="shared" ref="D754:D773" si="63">B754-C754</f>
        <v>2500</v>
      </c>
      <c r="E754" s="7">
        <f t="shared" ref="E754:E773" si="64">D754/C754</f>
        <v>1.6666666666666667</v>
      </c>
    </row>
    <row r="755" spans="1:5" x14ac:dyDescent="0.2">
      <c r="A755" s="54" t="s">
        <v>423</v>
      </c>
      <c r="B755" s="80">
        <v>1000</v>
      </c>
      <c r="C755" s="80">
        <v>4000</v>
      </c>
      <c r="D755" s="79">
        <f t="shared" si="63"/>
        <v>-3000</v>
      </c>
      <c r="E755" s="7">
        <f t="shared" si="64"/>
        <v>-0.75</v>
      </c>
    </row>
    <row r="756" spans="1:5" x14ac:dyDescent="0.2">
      <c r="A756" s="54" t="s">
        <v>424</v>
      </c>
      <c r="B756" s="80">
        <v>800</v>
      </c>
      <c r="C756" s="80">
        <v>800</v>
      </c>
      <c r="D756" s="79">
        <f t="shared" si="63"/>
        <v>0</v>
      </c>
      <c r="E756" s="7">
        <f t="shared" si="64"/>
        <v>0</v>
      </c>
    </row>
    <row r="757" spans="1:5" x14ac:dyDescent="0.2">
      <c r="A757" s="54" t="s">
        <v>688</v>
      </c>
      <c r="B757" s="80">
        <v>2500</v>
      </c>
      <c r="C757" s="80"/>
      <c r="D757" s="79">
        <f t="shared" si="63"/>
        <v>2500</v>
      </c>
      <c r="E757" s="7" t="e">
        <f t="shared" si="64"/>
        <v>#DIV/0!</v>
      </c>
    </row>
    <row r="758" spans="1:5" x14ac:dyDescent="0.2">
      <c r="A758" s="54" t="s">
        <v>697</v>
      </c>
      <c r="B758" s="80">
        <v>2500</v>
      </c>
      <c r="C758" s="80"/>
      <c r="D758" s="79">
        <f t="shared" si="63"/>
        <v>2500</v>
      </c>
      <c r="E758" s="7" t="e">
        <f t="shared" si="64"/>
        <v>#DIV/0!</v>
      </c>
    </row>
    <row r="759" spans="1:5" x14ac:dyDescent="0.2">
      <c r="A759" s="54" t="s">
        <v>425</v>
      </c>
      <c r="B759" s="80">
        <v>3000</v>
      </c>
      <c r="C759" s="80">
        <v>5000</v>
      </c>
      <c r="D759" s="79">
        <f t="shared" si="63"/>
        <v>-2000</v>
      </c>
      <c r="E759" s="7">
        <f t="shared" si="64"/>
        <v>-0.4</v>
      </c>
    </row>
    <row r="760" spans="1:5" x14ac:dyDescent="0.2">
      <c r="A760" s="54" t="s">
        <v>426</v>
      </c>
      <c r="B760" s="80">
        <v>14000</v>
      </c>
      <c r="C760" s="80">
        <v>18000</v>
      </c>
      <c r="D760" s="79">
        <f t="shared" si="63"/>
        <v>-4000</v>
      </c>
      <c r="E760" s="7">
        <f t="shared" si="64"/>
        <v>-0.22222222222222221</v>
      </c>
    </row>
    <row r="761" spans="1:5" x14ac:dyDescent="0.2">
      <c r="A761" s="54" t="s">
        <v>427</v>
      </c>
      <c r="B761" s="80">
        <v>2000</v>
      </c>
      <c r="C761" s="80">
        <v>2500</v>
      </c>
      <c r="D761" s="79">
        <f t="shared" si="63"/>
        <v>-500</v>
      </c>
      <c r="E761" s="7">
        <f t="shared" si="64"/>
        <v>-0.2</v>
      </c>
    </row>
    <row r="762" spans="1:5" x14ac:dyDescent="0.2">
      <c r="A762" s="54" t="s">
        <v>428</v>
      </c>
      <c r="B762" s="80">
        <v>1000</v>
      </c>
      <c r="C762" s="80">
        <v>2500</v>
      </c>
      <c r="D762" s="79">
        <f t="shared" si="63"/>
        <v>-1500</v>
      </c>
      <c r="E762" s="7">
        <f t="shared" si="64"/>
        <v>-0.6</v>
      </c>
    </row>
    <row r="763" spans="1:5" x14ac:dyDescent="0.2">
      <c r="A763" s="54" t="s">
        <v>429</v>
      </c>
      <c r="B763" s="80">
        <v>2000</v>
      </c>
      <c r="C763" s="80">
        <v>4000</v>
      </c>
      <c r="D763" s="79">
        <f t="shared" si="63"/>
        <v>-2000</v>
      </c>
      <c r="E763" s="7">
        <f t="shared" si="64"/>
        <v>-0.5</v>
      </c>
    </row>
    <row r="764" spans="1:5" x14ac:dyDescent="0.2">
      <c r="A764" s="54" t="s">
        <v>430</v>
      </c>
      <c r="B764" s="80">
        <v>9000</v>
      </c>
      <c r="C764" s="80">
        <v>7000</v>
      </c>
      <c r="D764" s="79">
        <f t="shared" si="63"/>
        <v>2000</v>
      </c>
      <c r="E764" s="7">
        <f t="shared" si="64"/>
        <v>0.2857142857142857</v>
      </c>
    </row>
    <row r="765" spans="1:5" x14ac:dyDescent="0.2">
      <c r="A765" s="54" t="s">
        <v>431</v>
      </c>
      <c r="B765" s="80">
        <v>4500</v>
      </c>
      <c r="C765" s="80">
        <v>4500</v>
      </c>
      <c r="D765" s="79">
        <f t="shared" si="63"/>
        <v>0</v>
      </c>
      <c r="E765" s="7">
        <f t="shared" si="64"/>
        <v>0</v>
      </c>
    </row>
    <row r="766" spans="1:5" x14ac:dyDescent="0.2">
      <c r="A766" s="54" t="s">
        <v>698</v>
      </c>
      <c r="B766" s="80">
        <v>2000</v>
      </c>
      <c r="C766" s="80">
        <v>0</v>
      </c>
      <c r="D766" s="79">
        <f t="shared" si="63"/>
        <v>2000</v>
      </c>
      <c r="E766" s="7" t="e">
        <f t="shared" si="64"/>
        <v>#DIV/0!</v>
      </c>
    </row>
    <row r="767" spans="1:5" x14ac:dyDescent="0.2">
      <c r="A767" s="54" t="s">
        <v>432</v>
      </c>
      <c r="B767" s="80">
        <v>800</v>
      </c>
      <c r="C767" s="80">
        <v>500</v>
      </c>
      <c r="D767" s="79">
        <f t="shared" si="63"/>
        <v>300</v>
      </c>
      <c r="E767" s="7">
        <f t="shared" si="64"/>
        <v>0.6</v>
      </c>
    </row>
    <row r="768" spans="1:5" x14ac:dyDescent="0.2">
      <c r="A768" s="54" t="s">
        <v>433</v>
      </c>
      <c r="B768" s="80">
        <v>1000</v>
      </c>
      <c r="C768" s="80">
        <v>1000</v>
      </c>
      <c r="D768" s="79">
        <f t="shared" si="63"/>
        <v>0</v>
      </c>
      <c r="E768" s="7">
        <f t="shared" si="64"/>
        <v>0</v>
      </c>
    </row>
    <row r="769" spans="1:5" x14ac:dyDescent="0.2">
      <c r="A769" s="54" t="s">
        <v>434</v>
      </c>
      <c r="B769" s="80">
        <v>14000</v>
      </c>
      <c r="C769" s="80">
        <v>14000</v>
      </c>
      <c r="D769" s="79">
        <f t="shared" si="63"/>
        <v>0</v>
      </c>
      <c r="E769" s="7">
        <f t="shared" si="64"/>
        <v>0</v>
      </c>
    </row>
    <row r="770" spans="1:5" x14ac:dyDescent="0.2">
      <c r="A770" s="54" t="s">
        <v>435</v>
      </c>
      <c r="B770" s="80">
        <v>0</v>
      </c>
      <c r="C770" s="80">
        <v>500</v>
      </c>
      <c r="D770" s="79">
        <f t="shared" si="63"/>
        <v>-500</v>
      </c>
      <c r="E770" s="7">
        <f t="shared" si="64"/>
        <v>-1</v>
      </c>
    </row>
    <row r="771" spans="1:5" x14ac:dyDescent="0.2">
      <c r="A771" s="54" t="s">
        <v>436</v>
      </c>
      <c r="B771" s="80">
        <v>10000</v>
      </c>
      <c r="C771" s="80">
        <v>10000</v>
      </c>
      <c r="D771" s="79">
        <f t="shared" si="63"/>
        <v>0</v>
      </c>
      <c r="E771" s="7">
        <f t="shared" si="64"/>
        <v>0</v>
      </c>
    </row>
    <row r="772" spans="1:5" x14ac:dyDescent="0.2">
      <c r="A772" s="54" t="s">
        <v>437</v>
      </c>
      <c r="B772" s="80">
        <v>35000</v>
      </c>
      <c r="C772" s="80">
        <v>38000</v>
      </c>
      <c r="D772" s="79">
        <f t="shared" si="63"/>
        <v>-3000</v>
      </c>
      <c r="E772" s="7">
        <f t="shared" si="64"/>
        <v>-7.8947368421052627E-2</v>
      </c>
    </row>
    <row r="773" spans="1:5" ht="13.5" thickBot="1" x14ac:dyDescent="0.25">
      <c r="A773" s="55" t="s">
        <v>438</v>
      </c>
      <c r="B773" s="80">
        <v>7000</v>
      </c>
      <c r="C773" s="80">
        <v>4000</v>
      </c>
      <c r="D773" s="79">
        <f t="shared" si="63"/>
        <v>3000</v>
      </c>
      <c r="E773" s="7">
        <f t="shared" si="64"/>
        <v>0.75</v>
      </c>
    </row>
    <row r="774" spans="1:5" x14ac:dyDescent="0.2">
      <c r="A774" s="53" t="s">
        <v>126</v>
      </c>
      <c r="B774" s="81">
        <f>SUM(B754:B773)</f>
        <v>116100</v>
      </c>
      <c r="C774" s="81">
        <f>SUM(C754:C773)</f>
        <v>117800</v>
      </c>
      <c r="D774" s="81">
        <f>SUM(D754:D773)</f>
        <v>-1700</v>
      </c>
      <c r="E774" s="8">
        <f>(B774-C774)/C774</f>
        <v>-1.4431239388794566E-2</v>
      </c>
    </row>
    <row r="775" spans="1:5" ht="13.5" thickBot="1" x14ac:dyDescent="0.25">
      <c r="A775" s="57"/>
      <c r="B775" s="82"/>
      <c r="C775" s="82"/>
      <c r="D775" s="82"/>
      <c r="E775" s="9"/>
    </row>
    <row r="776" spans="1:5" ht="13.5" thickBot="1" x14ac:dyDescent="0.25">
      <c r="A776" s="58" t="s">
        <v>555</v>
      </c>
      <c r="B776" s="83">
        <f>SUM(B774)</f>
        <v>116100</v>
      </c>
      <c r="C776" s="83">
        <f>SUM(C774)</f>
        <v>117800</v>
      </c>
      <c r="D776" s="83">
        <f>B776-C776</f>
        <v>-1700</v>
      </c>
      <c r="E776" s="10">
        <f>(B776-C776)/C776</f>
        <v>-1.4431239388794566E-2</v>
      </c>
    </row>
    <row r="777" spans="1:5" ht="13.5" thickBot="1" x14ac:dyDescent="0.25">
      <c r="A777" s="59"/>
      <c r="B777" s="84"/>
      <c r="C777" s="84"/>
      <c r="D777" s="84"/>
      <c r="E777" s="11"/>
    </row>
    <row r="778" spans="1:5" x14ac:dyDescent="0.2">
      <c r="A778" s="52" t="s">
        <v>510</v>
      </c>
      <c r="B778" s="79"/>
      <c r="C778" s="79"/>
      <c r="D778" s="79"/>
      <c r="E778" s="7"/>
    </row>
    <row r="779" spans="1:5" x14ac:dyDescent="0.2">
      <c r="A779" s="53" t="s">
        <v>439</v>
      </c>
      <c r="B779" s="79"/>
      <c r="C779" s="79"/>
      <c r="D779" s="79"/>
      <c r="E779" s="7"/>
    </row>
    <row r="780" spans="1:5" x14ac:dyDescent="0.2">
      <c r="A780" s="54" t="s">
        <v>440</v>
      </c>
      <c r="B780" s="80">
        <v>3000</v>
      </c>
      <c r="C780" s="80">
        <v>3000</v>
      </c>
      <c r="D780" s="79">
        <f t="shared" ref="D780:D786" si="65">B780-C780</f>
        <v>0</v>
      </c>
      <c r="E780" s="7">
        <f t="shared" ref="E780:E785" si="66">D780/C780</f>
        <v>0</v>
      </c>
    </row>
    <row r="781" spans="1:5" x14ac:dyDescent="0.2">
      <c r="A781" s="54" t="s">
        <v>441</v>
      </c>
      <c r="B781" s="80">
        <v>1500</v>
      </c>
      <c r="C781" s="80">
        <v>1500</v>
      </c>
      <c r="D781" s="79">
        <f t="shared" si="65"/>
        <v>0</v>
      </c>
      <c r="E781" s="7">
        <f t="shared" si="66"/>
        <v>0</v>
      </c>
    </row>
    <row r="782" spans="1:5" x14ac:dyDescent="0.2">
      <c r="A782" s="54" t="s">
        <v>442</v>
      </c>
      <c r="B782" s="80">
        <v>1000</v>
      </c>
      <c r="C782" s="80">
        <v>1000</v>
      </c>
      <c r="D782" s="79">
        <f t="shared" si="65"/>
        <v>0</v>
      </c>
      <c r="E782" s="7">
        <f t="shared" si="66"/>
        <v>0</v>
      </c>
    </row>
    <row r="783" spans="1:5" x14ac:dyDescent="0.2">
      <c r="A783" s="54" t="s">
        <v>443</v>
      </c>
      <c r="B783" s="80">
        <v>85000</v>
      </c>
      <c r="C783" s="80">
        <v>85000</v>
      </c>
      <c r="D783" s="79">
        <f t="shared" si="65"/>
        <v>0</v>
      </c>
      <c r="E783" s="7">
        <f t="shared" si="66"/>
        <v>0</v>
      </c>
    </row>
    <row r="784" spans="1:5" x14ac:dyDescent="0.2">
      <c r="A784" s="54" t="s">
        <v>444</v>
      </c>
      <c r="B784" s="80">
        <v>30000</v>
      </c>
      <c r="C784" s="80">
        <v>30000</v>
      </c>
      <c r="D784" s="79">
        <f t="shared" si="65"/>
        <v>0</v>
      </c>
      <c r="E784" s="7">
        <f t="shared" si="66"/>
        <v>0</v>
      </c>
    </row>
    <row r="785" spans="1:5" ht="13.5" thickBot="1" x14ac:dyDescent="0.25">
      <c r="A785" s="55" t="s">
        <v>445</v>
      </c>
      <c r="B785" s="80">
        <v>4000</v>
      </c>
      <c r="C785" s="80">
        <v>4000</v>
      </c>
      <c r="D785" s="79">
        <f t="shared" si="65"/>
        <v>0</v>
      </c>
      <c r="E785" s="7">
        <f t="shared" si="66"/>
        <v>0</v>
      </c>
    </row>
    <row r="786" spans="1:5" x14ac:dyDescent="0.2">
      <c r="A786" s="53" t="s">
        <v>446</v>
      </c>
      <c r="B786" s="81">
        <f>SUM(B780:B785)</f>
        <v>124500</v>
      </c>
      <c r="C786" s="81">
        <f>SUM(C780:C785)</f>
        <v>124500</v>
      </c>
      <c r="D786" s="81">
        <f t="shared" si="65"/>
        <v>0</v>
      </c>
      <c r="E786" s="8">
        <f>(B786-C786)/C786</f>
        <v>0</v>
      </c>
    </row>
    <row r="787" spans="1:5" x14ac:dyDescent="0.2">
      <c r="A787" s="56"/>
      <c r="B787" s="82"/>
      <c r="C787" s="82"/>
      <c r="D787" s="82"/>
      <c r="E787" s="9"/>
    </row>
    <row r="788" spans="1:5" x14ac:dyDescent="0.2">
      <c r="A788" s="53" t="s">
        <v>447</v>
      </c>
      <c r="B788" s="79"/>
      <c r="C788" s="79"/>
      <c r="D788" s="79"/>
      <c r="E788" s="7"/>
    </row>
    <row r="789" spans="1:5" ht="13.5" thickBot="1" x14ac:dyDescent="0.25">
      <c r="A789" s="55" t="s">
        <v>448</v>
      </c>
      <c r="B789" s="80">
        <v>15000</v>
      </c>
      <c r="C789" s="80">
        <v>15000</v>
      </c>
      <c r="D789" s="79">
        <f>B789-C789</f>
        <v>0</v>
      </c>
      <c r="E789" s="7">
        <f>D789/C789</f>
        <v>0</v>
      </c>
    </row>
    <row r="790" spans="1:5" x14ac:dyDescent="0.2">
      <c r="A790" s="53" t="s">
        <v>449</v>
      </c>
      <c r="B790" s="81">
        <f>SUM(B789:B789)</f>
        <v>15000</v>
      </c>
      <c r="C790" s="81">
        <f>SUM(C789:C789)</f>
        <v>15000</v>
      </c>
      <c r="D790" s="81">
        <f>B790-C790</f>
        <v>0</v>
      </c>
      <c r="E790" s="8">
        <f>(B790-C790)/C790</f>
        <v>0</v>
      </c>
    </row>
    <row r="791" spans="1:5" x14ac:dyDescent="0.2">
      <c r="A791" s="56"/>
      <c r="B791" s="82"/>
      <c r="C791" s="82"/>
      <c r="D791" s="82"/>
      <c r="E791" s="9"/>
    </row>
    <row r="792" spans="1:5" x14ac:dyDescent="0.2">
      <c r="A792" s="53" t="s">
        <v>450</v>
      </c>
      <c r="B792" s="79"/>
      <c r="C792" s="79"/>
      <c r="D792" s="79"/>
      <c r="E792" s="7"/>
    </row>
    <row r="793" spans="1:5" x14ac:dyDescent="0.2">
      <c r="A793" s="54" t="s">
        <v>581</v>
      </c>
      <c r="B793" s="80">
        <v>30000</v>
      </c>
      <c r="C793" s="80">
        <v>40000</v>
      </c>
      <c r="D793" s="79">
        <f>B793-C793</f>
        <v>-10000</v>
      </c>
      <c r="E793" s="7">
        <f>D793/C793</f>
        <v>-0.25</v>
      </c>
    </row>
    <row r="794" spans="1:5" ht="13.5" thickBot="1" x14ac:dyDescent="0.25">
      <c r="A794" s="55" t="s">
        <v>636</v>
      </c>
      <c r="B794" s="80">
        <v>25000</v>
      </c>
      <c r="C794" s="80">
        <v>15000</v>
      </c>
      <c r="D794" s="79">
        <f>B794-C794</f>
        <v>10000</v>
      </c>
      <c r="E794" s="7">
        <f>D794/C794</f>
        <v>0.66666666666666663</v>
      </c>
    </row>
    <row r="795" spans="1:5" x14ac:dyDescent="0.2">
      <c r="A795" s="53" t="s">
        <v>451</v>
      </c>
      <c r="B795" s="81">
        <f>SUM(B793:B794)</f>
        <v>55000</v>
      </c>
      <c r="C795" s="81">
        <f>SUM(C793:C794)</f>
        <v>55000</v>
      </c>
      <c r="D795" s="81">
        <f>B795-C795</f>
        <v>0</v>
      </c>
      <c r="E795" s="8">
        <f>(B795-C795)/C795</f>
        <v>0</v>
      </c>
    </row>
    <row r="796" spans="1:5" x14ac:dyDescent="0.2">
      <c r="A796" s="56"/>
      <c r="B796" s="82"/>
      <c r="C796" s="82"/>
      <c r="D796" s="82"/>
      <c r="E796" s="9"/>
    </row>
    <row r="797" spans="1:5" x14ac:dyDescent="0.2">
      <c r="A797" s="53" t="s">
        <v>76</v>
      </c>
      <c r="B797" s="79"/>
      <c r="C797" s="79"/>
      <c r="D797" s="79"/>
      <c r="E797" s="7"/>
    </row>
    <row r="798" spans="1:5" x14ac:dyDescent="0.2">
      <c r="A798" s="54" t="s">
        <v>452</v>
      </c>
      <c r="B798" s="80">
        <v>2400</v>
      </c>
      <c r="C798" s="80">
        <v>2400</v>
      </c>
      <c r="D798" s="79">
        <f>B798-C798</f>
        <v>0</v>
      </c>
      <c r="E798" s="7">
        <f>D798/C798</f>
        <v>0</v>
      </c>
    </row>
    <row r="799" spans="1:5" x14ac:dyDescent="0.2">
      <c r="A799" s="54" t="s">
        <v>604</v>
      </c>
      <c r="B799" s="80">
        <v>15000</v>
      </c>
      <c r="C799" s="80">
        <v>12000</v>
      </c>
      <c r="D799" s="79">
        <f>B799-C799</f>
        <v>3000</v>
      </c>
      <c r="E799" s="7">
        <f>D799/C799</f>
        <v>0.25</v>
      </c>
    </row>
    <row r="800" spans="1:5" ht="13.5" thickBot="1" x14ac:dyDescent="0.25">
      <c r="A800" s="55" t="s">
        <v>453</v>
      </c>
      <c r="B800" s="80">
        <v>1000</v>
      </c>
      <c r="C800" s="80">
        <v>1000</v>
      </c>
      <c r="D800" s="79">
        <f>B800-C800</f>
        <v>0</v>
      </c>
      <c r="E800" s="7">
        <f>D800/C800</f>
        <v>0</v>
      </c>
    </row>
    <row r="801" spans="1:5" x14ac:dyDescent="0.2">
      <c r="A801" s="53" t="s">
        <v>87</v>
      </c>
      <c r="B801" s="81">
        <f>SUM(B798:B800)</f>
        <v>18400</v>
      </c>
      <c r="C801" s="81">
        <f>SUM(C798:C800)</f>
        <v>15400</v>
      </c>
      <c r="D801" s="81">
        <f>B801-C801</f>
        <v>3000</v>
      </c>
      <c r="E801" s="8">
        <f>(B801-C801)/C801</f>
        <v>0.19480519480519481</v>
      </c>
    </row>
    <row r="802" spans="1:5" ht="13.5" thickBot="1" x14ac:dyDescent="0.25">
      <c r="A802" s="57"/>
      <c r="B802" s="82"/>
      <c r="C802" s="82"/>
      <c r="D802" s="82"/>
      <c r="E802" s="9"/>
    </row>
    <row r="803" spans="1:5" ht="13.5" thickBot="1" x14ac:dyDescent="0.25">
      <c r="A803" s="58" t="s">
        <v>549</v>
      </c>
      <c r="B803" s="83">
        <f>SUM(B801,B795,B790,B786)</f>
        <v>212900</v>
      </c>
      <c r="C803" s="83">
        <f>SUM(C801,C795,C790,C786)</f>
        <v>209900</v>
      </c>
      <c r="D803" s="83">
        <f>B803-C803</f>
        <v>3000</v>
      </c>
      <c r="E803" s="10">
        <f>(B803-C803)/C803</f>
        <v>1.4292520247737018E-2</v>
      </c>
    </row>
    <row r="804" spans="1:5" ht="13.5" thickBot="1" x14ac:dyDescent="0.25">
      <c r="A804" s="59"/>
      <c r="B804" s="88"/>
      <c r="C804" s="88"/>
      <c r="D804" s="88"/>
      <c r="E804" s="12"/>
    </row>
    <row r="805" spans="1:5" x14ac:dyDescent="0.2">
      <c r="A805" s="52" t="s">
        <v>511</v>
      </c>
      <c r="B805" s="78"/>
      <c r="C805" s="78"/>
      <c r="D805" s="78"/>
      <c r="E805" s="3"/>
    </row>
    <row r="806" spans="1:5" x14ac:dyDescent="0.2">
      <c r="A806" s="54" t="s">
        <v>140</v>
      </c>
      <c r="B806" s="80">
        <v>230000</v>
      </c>
      <c r="C806" s="80">
        <v>290000</v>
      </c>
      <c r="D806" s="79">
        <f>B806-C806</f>
        <v>-60000</v>
      </c>
      <c r="E806" s="7">
        <f>D806/C806</f>
        <v>-0.20689655172413793</v>
      </c>
    </row>
    <row r="807" spans="1:5" ht="13.5" thickBot="1" x14ac:dyDescent="0.25">
      <c r="A807" s="55" t="s">
        <v>699</v>
      </c>
      <c r="B807" s="80">
        <f>B806*0.22</f>
        <v>50600</v>
      </c>
      <c r="C807" s="80"/>
      <c r="D807" s="79">
        <f>B807-C807</f>
        <v>50600</v>
      </c>
      <c r="E807" s="7" t="e">
        <f>D807/C807</f>
        <v>#DIV/0!</v>
      </c>
    </row>
    <row r="808" spans="1:5" ht="13.5" thickBot="1" x14ac:dyDescent="0.25">
      <c r="A808" s="58" t="s">
        <v>550</v>
      </c>
      <c r="B808" s="83">
        <f>SUM(B806:B807)</f>
        <v>280600</v>
      </c>
      <c r="C808" s="83">
        <f>SUM(C806:C807)</f>
        <v>290000</v>
      </c>
      <c r="D808" s="83">
        <f>B808-C808</f>
        <v>-9400</v>
      </c>
      <c r="E808" s="10">
        <f>(B808-C808)/C808</f>
        <v>-3.2413793103448274E-2</v>
      </c>
    </row>
    <row r="809" spans="1:5" ht="13.5" thickBot="1" x14ac:dyDescent="0.25">
      <c r="A809" s="59"/>
      <c r="B809" s="84"/>
      <c r="C809" s="84"/>
      <c r="D809" s="84"/>
      <c r="E809" s="11"/>
    </row>
    <row r="810" spans="1:5" x14ac:dyDescent="0.2">
      <c r="A810" s="52" t="s">
        <v>512</v>
      </c>
      <c r="B810" s="78"/>
      <c r="C810" s="78"/>
      <c r="D810" s="78"/>
      <c r="E810" s="3"/>
    </row>
    <row r="811" spans="1:5" ht="13.5" thickBot="1" x14ac:dyDescent="0.25">
      <c r="A811" s="55" t="s">
        <v>140</v>
      </c>
      <c r="B811" s="80">
        <v>30000</v>
      </c>
      <c r="C811" s="80">
        <v>30000</v>
      </c>
      <c r="D811" s="79">
        <f>B811-C811</f>
        <v>0</v>
      </c>
      <c r="E811" s="7">
        <f>D811/C811</f>
        <v>0</v>
      </c>
    </row>
    <row r="812" spans="1:5" ht="13.5" thickBot="1" x14ac:dyDescent="0.25">
      <c r="A812" s="58" t="s">
        <v>551</v>
      </c>
      <c r="B812" s="83">
        <f>SUM(B811:B811)</f>
        <v>30000</v>
      </c>
      <c r="C812" s="83">
        <f>SUM(C811:C811)</f>
        <v>30000</v>
      </c>
      <c r="D812" s="83">
        <f>B812-C812</f>
        <v>0</v>
      </c>
      <c r="E812" s="10">
        <f>(B812-C812)/C812</f>
        <v>0</v>
      </c>
    </row>
    <row r="813" spans="1:5" ht="13.5" thickBot="1" x14ac:dyDescent="0.25">
      <c r="A813" s="58"/>
      <c r="B813" s="83"/>
      <c r="C813" s="83"/>
      <c r="D813" s="83"/>
      <c r="E813" s="10"/>
    </row>
    <row r="814" spans="1:5" x14ac:dyDescent="0.2">
      <c r="A814" s="52" t="s">
        <v>513</v>
      </c>
      <c r="B814" s="78"/>
      <c r="C814" s="78"/>
      <c r="D814" s="78"/>
      <c r="E814" s="3"/>
    </row>
    <row r="815" spans="1:5" ht="13.5" thickBot="1" x14ac:dyDescent="0.25">
      <c r="A815" s="55" t="s">
        <v>454</v>
      </c>
      <c r="B815" s="80">
        <v>25000</v>
      </c>
      <c r="C815" s="80">
        <v>25000</v>
      </c>
      <c r="D815" s="79">
        <f>B815-C815</f>
        <v>0</v>
      </c>
      <c r="E815" s="7">
        <f>D815/C815</f>
        <v>0</v>
      </c>
    </row>
    <row r="816" spans="1:5" ht="13.5" thickBot="1" x14ac:dyDescent="0.25">
      <c r="A816" s="58" t="s">
        <v>554</v>
      </c>
      <c r="B816" s="83">
        <f>SUM(B815:B815)</f>
        <v>25000</v>
      </c>
      <c r="C816" s="83">
        <f>SUM(C815:C815)</f>
        <v>25000</v>
      </c>
      <c r="D816" s="83">
        <f>B816-C816</f>
        <v>0</v>
      </c>
      <c r="E816" s="10">
        <f>(B816-C816)/C816</f>
        <v>0</v>
      </c>
    </row>
    <row r="817" spans="1:5" ht="13.5" thickBot="1" x14ac:dyDescent="0.25">
      <c r="A817" s="58"/>
      <c r="B817" s="83"/>
      <c r="C817" s="83"/>
      <c r="D817" s="83"/>
      <c r="E817" s="10"/>
    </row>
    <row r="818" spans="1:5" x14ac:dyDescent="0.2">
      <c r="A818" s="52" t="s">
        <v>514</v>
      </c>
      <c r="B818" s="78"/>
      <c r="C818" s="78"/>
      <c r="D818" s="78"/>
      <c r="E818" s="3"/>
    </row>
    <row r="819" spans="1:5" ht="13.5" thickBot="1" x14ac:dyDescent="0.25">
      <c r="A819" s="55" t="s">
        <v>455</v>
      </c>
      <c r="B819" s="80">
        <f>248435*0.25</f>
        <v>62108.75</v>
      </c>
      <c r="C819" s="80">
        <f>242304*0.25</f>
        <v>60576</v>
      </c>
      <c r="D819" s="79">
        <f>B819-C819</f>
        <v>1532.75</v>
      </c>
      <c r="E819" s="7">
        <f>D819/C819</f>
        <v>2.5302925250924459E-2</v>
      </c>
    </row>
    <row r="820" spans="1:5" ht="13.5" thickBot="1" x14ac:dyDescent="0.25">
      <c r="A820" s="58" t="s">
        <v>552</v>
      </c>
      <c r="B820" s="83">
        <f>SUM(B819:B819)</f>
        <v>62108.75</v>
      </c>
      <c r="C820" s="83">
        <f>SUM(C819:C819)</f>
        <v>60576</v>
      </c>
      <c r="D820" s="83">
        <f>B820-C820</f>
        <v>1532.75</v>
      </c>
      <c r="E820" s="10">
        <f>(B820-C820)/C820</f>
        <v>2.5302925250924459E-2</v>
      </c>
    </row>
    <row r="821" spans="1:5" ht="13.5" thickBot="1" x14ac:dyDescent="0.25">
      <c r="A821" s="59"/>
      <c r="B821" s="84"/>
      <c r="C821" s="84"/>
      <c r="D821" s="84"/>
      <c r="E821" s="11"/>
    </row>
    <row r="822" spans="1:5" ht="15" customHeight="1" x14ac:dyDescent="0.2">
      <c r="A822" s="52" t="s">
        <v>515</v>
      </c>
      <c r="B822" s="78"/>
      <c r="C822" s="78"/>
      <c r="D822" s="78"/>
      <c r="E822" s="3"/>
    </row>
    <row r="823" spans="1:5" x14ac:dyDescent="0.2">
      <c r="A823" s="54" t="s">
        <v>456</v>
      </c>
      <c r="B823" s="80">
        <v>22178</v>
      </c>
      <c r="C823" s="80">
        <v>21631</v>
      </c>
      <c r="D823" s="79">
        <f t="shared" ref="D823:D828" si="67">B823-C823</f>
        <v>547</v>
      </c>
      <c r="E823" s="7">
        <f>D823/C823</f>
        <v>2.528778142480699E-2</v>
      </c>
    </row>
    <row r="824" spans="1:5" x14ac:dyDescent="0.2">
      <c r="A824" s="54" t="s">
        <v>457</v>
      </c>
      <c r="B824" s="80">
        <v>99098</v>
      </c>
      <c r="C824" s="80">
        <v>96653</v>
      </c>
      <c r="D824" s="79">
        <f t="shared" si="67"/>
        <v>2445</v>
      </c>
      <c r="E824" s="7">
        <f>D824/C824</f>
        <v>2.5296679875430664E-2</v>
      </c>
    </row>
    <row r="825" spans="1:5" x14ac:dyDescent="0.2">
      <c r="A825" s="54" t="s">
        <v>458</v>
      </c>
      <c r="B825" s="80">
        <v>87341</v>
      </c>
      <c r="C825" s="80">
        <v>85185</v>
      </c>
      <c r="D825" s="79">
        <f t="shared" si="67"/>
        <v>2156</v>
      </c>
      <c r="E825" s="7">
        <f>D825/C825</f>
        <v>2.5309620238304867E-2</v>
      </c>
    </row>
    <row r="826" spans="1:5" x14ac:dyDescent="0.2">
      <c r="A826" s="54" t="s">
        <v>459</v>
      </c>
      <c r="B826" s="80">
        <v>19429</v>
      </c>
      <c r="C826" s="80">
        <v>18950</v>
      </c>
      <c r="D826" s="79">
        <f t="shared" si="67"/>
        <v>479</v>
      </c>
      <c r="E826" s="7">
        <f>D826/C826</f>
        <v>2.5277044854881265E-2</v>
      </c>
    </row>
    <row r="827" spans="1:5" ht="13.5" thickBot="1" x14ac:dyDescent="0.25">
      <c r="A827" s="55" t="s">
        <v>460</v>
      </c>
      <c r="B827" s="80">
        <f>248435*0.75</f>
        <v>186326.25</v>
      </c>
      <c r="C827" s="80">
        <f>242304*0.75</f>
        <v>181728</v>
      </c>
      <c r="D827" s="79">
        <f t="shared" si="67"/>
        <v>4598.25</v>
      </c>
      <c r="E827" s="7">
        <f>D827/C827</f>
        <v>2.5302925250924459E-2</v>
      </c>
    </row>
    <row r="828" spans="1:5" ht="13.5" thickBot="1" x14ac:dyDescent="0.25">
      <c r="A828" s="58" t="s">
        <v>580</v>
      </c>
      <c r="B828" s="83">
        <f>SUM(B823:B827)</f>
        <v>414372.25</v>
      </c>
      <c r="C828" s="83">
        <f>SUM(C823:C827)</f>
        <v>404147</v>
      </c>
      <c r="D828" s="83">
        <f t="shared" si="67"/>
        <v>10225.25</v>
      </c>
      <c r="E828" s="10">
        <f>(B828-C828)/C828</f>
        <v>2.5300818761490249E-2</v>
      </c>
    </row>
    <row r="830" spans="1:5" ht="13.5" thickBot="1" x14ac:dyDescent="0.25">
      <c r="A830" s="67"/>
      <c r="B830" s="96"/>
      <c r="C830" s="96"/>
      <c r="D830" s="96"/>
      <c r="E830" s="16"/>
    </row>
    <row r="831" spans="1:5" s="68" customFormat="1" ht="13.5" thickBot="1" x14ac:dyDescent="0.25">
      <c r="A831" s="49" t="s">
        <v>553</v>
      </c>
      <c r="B831" s="97">
        <f>SUM(B828,B820,B816,B812,B808,B803,B776,B750,B694,B685,B681,B677)</f>
        <v>1844059</v>
      </c>
      <c r="C831" s="97">
        <f>SUM(C828,C820,C816,C812,C808,C803,C776,C750,C694,C685,C681,C677)</f>
        <v>1791332</v>
      </c>
      <c r="D831" s="97">
        <f>B831-C831</f>
        <v>52727</v>
      </c>
      <c r="E831" s="17">
        <f>(B831-C831)/C831</f>
        <v>2.9434521350592744E-2</v>
      </c>
    </row>
    <row r="832" spans="1:5" ht="13.5" thickBot="1" x14ac:dyDescent="0.25">
      <c r="A832" s="69"/>
      <c r="B832" s="98"/>
      <c r="C832" s="98"/>
      <c r="D832" s="98"/>
      <c r="E832" s="18"/>
    </row>
    <row r="833" spans="1:5" s="68" customFormat="1" ht="13.5" thickBot="1" x14ac:dyDescent="0.25">
      <c r="A833" s="49" t="s">
        <v>560</v>
      </c>
      <c r="B833" s="97">
        <f>SUM(B831,B672,B275)</f>
        <v>11336418</v>
      </c>
      <c r="C833" s="97">
        <f>SUM(C831,C672,C275)</f>
        <v>11915221</v>
      </c>
      <c r="D833" s="97">
        <f>B833-C833</f>
        <v>-578803</v>
      </c>
      <c r="E833" s="17">
        <f>(B833-C833)/C833</f>
        <v>-4.8576774194956179E-2</v>
      </c>
    </row>
    <row r="834" spans="1:5" ht="13.5" thickBot="1" x14ac:dyDescent="0.25">
      <c r="A834" s="70"/>
      <c r="B834" s="98"/>
      <c r="C834" s="98"/>
      <c r="D834" s="98"/>
      <c r="E834" s="18"/>
    </row>
    <row r="835" spans="1:5" s="68" customFormat="1" ht="13.5" thickBot="1" x14ac:dyDescent="0.25">
      <c r="A835" s="49" t="s">
        <v>701</v>
      </c>
      <c r="B835" s="97">
        <f>SUM(B807,B731,B573,B534,B511,B486,B385,B342,B285,B233,B109,B596)</f>
        <v>1357988</v>
      </c>
      <c r="C835" s="97"/>
      <c r="D835" s="97"/>
      <c r="E835" s="17"/>
    </row>
    <row r="836" spans="1:5" ht="13.5" thickBot="1" x14ac:dyDescent="0.25">
      <c r="A836" s="70"/>
      <c r="B836" s="98"/>
      <c r="C836" s="98"/>
      <c r="D836" s="98"/>
      <c r="E836" s="18"/>
    </row>
    <row r="837" spans="1:5" s="68" customFormat="1" ht="13.5" thickBot="1" x14ac:dyDescent="0.25">
      <c r="A837" s="49" t="s">
        <v>702</v>
      </c>
      <c r="B837" s="97">
        <f>B833-B835</f>
        <v>9978430</v>
      </c>
      <c r="C837" s="97"/>
      <c r="D837" s="97"/>
      <c r="E837" s="17"/>
    </row>
  </sheetData>
  <mergeCells count="1">
    <mergeCell ref="A1:E1"/>
  </mergeCells>
  <printOptions gridLines="1"/>
  <pageMargins left="0.25" right="0.25" top="0.75" bottom="0.75" header="0.3" footer="0.3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D613EE77B7540A3B9B3BBFBD7A526" ma:contentTypeVersion="7" ma:contentTypeDescription="Create a new document." ma:contentTypeScope="" ma:versionID="f9f5bcab7999dc40643f374f14bbe83e">
  <xsd:schema xmlns:xsd="http://www.w3.org/2001/XMLSchema" xmlns:xs="http://www.w3.org/2001/XMLSchema" xmlns:p="http://schemas.microsoft.com/office/2006/metadata/properties" xmlns:ns2="5a75c1b6-7e9e-458d-8219-63bed263f8d4" xmlns:ns3="dbf1d217-fcff-488e-b4a9-acc64ae69dc5" targetNamespace="http://schemas.microsoft.com/office/2006/metadata/properties" ma:root="true" ma:fieldsID="bb6f4909527f54573173d3334b483d0a" ns2:_="" ns3:_="">
    <xsd:import namespace="5a75c1b6-7e9e-458d-8219-63bed263f8d4"/>
    <xsd:import namespace="dbf1d217-fcff-488e-b4a9-acc64ae69d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5c1b6-7e9e-458d-8219-63bed263f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1d217-fcff-488e-b4a9-acc64ae69d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B6447E-71BB-4202-B744-D06E054AB3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90E855-5CB8-4ACB-9746-8316B9771C5B}"/>
</file>

<file path=customXml/itemProps3.xml><?xml version="1.0" encoding="utf-8"?>
<ds:datastoreItem xmlns:ds="http://schemas.openxmlformats.org/officeDocument/2006/customXml" ds:itemID="{9554CA29-069E-4EA0-9164-129225F777B1}">
  <ds:schemaRefs>
    <ds:schemaRef ds:uri="http://schemas.microsoft.com/office/2006/metadata/properties"/>
    <ds:schemaRef ds:uri="http://www.w3.org/2000/xmlns/"/>
    <ds:schemaRef ds:uri="http://schemas.microsoft.com/office/infopath/2007/PartnerControls"/>
    <ds:schemaRef ds:uri="f625aba0-349c-4931-b560-8182163282f4"/>
    <ds:schemaRef ds:uri="dbf1d217-fcff-488e-b4a9-acc64ae69dc5"/>
    <ds:schemaRef ds:uri="4c4a1450-f8c5-4a66-87b7-61ad3effbb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Opportunities Summary</vt:lpstr>
      <vt:lpstr>Detailed Budget</vt:lpstr>
      <vt:lpstr>'Detailed Budget'!Print_Area</vt:lpstr>
      <vt:lpstr>'Detailed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Jamion Wolford</dc:creator>
  <cp:lastModifiedBy>Jamion Wolford</cp:lastModifiedBy>
  <cp:lastPrinted>2023-03-23T15:32:46Z</cp:lastPrinted>
  <dcterms:created xsi:type="dcterms:W3CDTF">2020-01-10T18:23:08Z</dcterms:created>
  <dcterms:modified xsi:type="dcterms:W3CDTF">2023-07-18T18:10:43Z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0x010100A7DD613EE77B7540A3B9B3BBFBD7A526</vt:lpwstr>
  </property>
  <property fmtid="{D5CDD505-2E9C-101B-9397-08002B2CF9AE}" pid="3" name="MediaServiceImageTags">
    <vt:lpwstr/>
  </property>
</Properties>
</file>